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S:\Wcd_forms\PD_TD_calculators\Final-Posted\"/>
    </mc:Choice>
  </mc:AlternateContent>
  <xr:revisionPtr revIDLastSave="0" documentId="13_ncr:1_{F8E0BCD8-4D2C-4D19-A968-7EA9B5F3DFFC}" xr6:coauthVersionLast="47" xr6:coauthVersionMax="47" xr10:uidLastSave="{00000000-0000-0000-0000-000000000000}"/>
  <bookViews>
    <workbookView xWindow="-110" yWindow="-110" windowWidth="19420" windowHeight="10300" xr2:uid="{00000000-000D-0000-FFFF-FFFF00000000}"/>
  </bookViews>
  <sheets>
    <sheet name="Vision" sheetId="44" r:id="rId1"/>
    <sheet name="SAWW" sheetId="59" r:id="rId2"/>
    <sheet name="Eye-Table" sheetId="45" r:id="rId3"/>
    <sheet name="Dol Per Deg" sheetId="61" r:id="rId4"/>
  </sheets>
  <definedNames>
    <definedName name="AmPoint">#REF!</definedName>
    <definedName name="Distance">#REF!</definedName>
    <definedName name="DOI_Rate" localSheetId="3">'Dol Per Deg'!$A$7:$C$16</definedName>
    <definedName name="DOI_Rate">#REF!</definedName>
    <definedName name="Jaeger">#REF!</definedName>
    <definedName name="Metric6">#REF!</definedName>
    <definedName name="N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2" i="44" l="1"/>
  <c r="AF62" i="44" s="1"/>
  <c r="AL62" i="44"/>
  <c r="O62" i="44" s="1"/>
  <c r="S10" i="44"/>
  <c r="B10" i="44"/>
  <c r="AM66" i="44" l="1"/>
  <c r="AM67" i="44"/>
  <c r="AF67" i="44" s="1"/>
  <c r="AM63" i="44"/>
  <c r="AL64" i="44"/>
  <c r="O64" i="44" s="1"/>
  <c r="AL65" i="44"/>
  <c r="O65" i="44" s="1"/>
  <c r="AL66" i="44"/>
  <c r="O66" i="44" s="1"/>
  <c r="AL67" i="44"/>
  <c r="AF58" i="44"/>
  <c r="Z68" i="44" s="1"/>
  <c r="O58" i="44"/>
  <c r="I68" i="44" s="1"/>
  <c r="H7" i="61"/>
  <c r="H8" i="61" s="1"/>
  <c r="D3" i="59"/>
  <c r="D4" i="59" s="1"/>
  <c r="AN8" i="44"/>
  <c r="AO8" i="44"/>
  <c r="AN9" i="44"/>
  <c r="AO9" i="44"/>
  <c r="AL12" i="44"/>
  <c r="AM12" i="44"/>
  <c r="AN12" i="44"/>
  <c r="AO12" i="44"/>
  <c r="AL13" i="44"/>
  <c r="AM13" i="44"/>
  <c r="AN13" i="44"/>
  <c r="AO13" i="44"/>
  <c r="AL14" i="44"/>
  <c r="AM14" i="44"/>
  <c r="AN14" i="44"/>
  <c r="AO14" i="44"/>
  <c r="O17" i="44"/>
  <c r="AF17" i="44"/>
  <c r="AK23" i="44"/>
  <c r="AL23" i="44"/>
  <c r="AM23" i="44"/>
  <c r="AN23" i="44"/>
  <c r="AL25" i="44"/>
  <c r="K25" i="44"/>
  <c r="AR25" i="44" s="1"/>
  <c r="AN25" i="44"/>
  <c r="AL26" i="44"/>
  <c r="AN26" i="44"/>
  <c r="AL27" i="44"/>
  <c r="AN27" i="44"/>
  <c r="AL28" i="44"/>
  <c r="K28" i="44"/>
  <c r="AR28" i="44" s="1"/>
  <c r="AN28" i="44"/>
  <c r="AL29" i="44"/>
  <c r="K29" i="44" s="1"/>
  <c r="AR29" i="44" s="1"/>
  <c r="AN29" i="44"/>
  <c r="AL30" i="44"/>
  <c r="AN30" i="44"/>
  <c r="AL31" i="44"/>
  <c r="K31" i="44"/>
  <c r="AR31" i="44" s="1"/>
  <c r="AN31" i="44"/>
  <c r="AL32" i="44"/>
  <c r="AN32" i="44"/>
  <c r="K33" i="44"/>
  <c r="AM33" i="44" s="1"/>
  <c r="AB33" i="44"/>
  <c r="O41" i="44"/>
  <c r="AF41" i="44"/>
  <c r="O42" i="44"/>
  <c r="AF42" i="44"/>
  <c r="O43" i="44"/>
  <c r="AF43" i="44"/>
  <c r="O44" i="44"/>
  <c r="AF44" i="44"/>
  <c r="O45" i="44"/>
  <c r="AF45" i="44"/>
  <c r="O46" i="44"/>
  <c r="AF46" i="44"/>
  <c r="O47" i="44"/>
  <c r="AF47" i="44"/>
  <c r="O48" i="44"/>
  <c r="AF48" i="44"/>
  <c r="O49" i="44"/>
  <c r="AF49" i="44"/>
  <c r="O54" i="44"/>
  <c r="I65" i="44" s="1"/>
  <c r="AF54" i="44"/>
  <c r="Z65" i="44" s="1"/>
  <c r="AM65" i="44" s="1"/>
  <c r="AF65" i="44" s="1"/>
  <c r="O55" i="44"/>
  <c r="I66" i="44" s="1"/>
  <c r="AF55" i="44"/>
  <c r="Z66" i="44" s="1"/>
  <c r="O56" i="44"/>
  <c r="I67" i="44"/>
  <c r="AF56" i="44"/>
  <c r="Z67" i="44" s="1"/>
  <c r="K32" i="44"/>
  <c r="AM32" i="44" s="1"/>
  <c r="O67" i="44"/>
  <c r="AN67" i="44" s="1"/>
  <c r="AO67" i="44" s="1"/>
  <c r="AF66" i="44"/>
  <c r="K27" i="44"/>
  <c r="AM27" i="44" s="1"/>
  <c r="K30" i="44"/>
  <c r="AR30" i="44" s="1"/>
  <c r="K26" i="44"/>
  <c r="AR26" i="44" s="1"/>
  <c r="AF50" i="44" l="1"/>
  <c r="Z64" i="44" s="1"/>
  <c r="AM64" i="44" s="1"/>
  <c r="AF64" i="44" s="1"/>
  <c r="O50" i="44"/>
  <c r="I64" i="44" s="1"/>
  <c r="AB26" i="44"/>
  <c r="AL15" i="44"/>
  <c r="B15" i="44" s="1"/>
  <c r="AN66" i="44"/>
  <c r="AO66" i="44" s="1"/>
  <c r="AN65" i="44"/>
  <c r="AO65" i="44" s="1"/>
  <c r="AN64" i="44"/>
  <c r="AO64" i="44" s="1"/>
  <c r="AS67" i="44"/>
  <c r="AS66" i="44"/>
  <c r="AT66" i="44" s="1"/>
  <c r="AS64" i="44"/>
  <c r="AT64" i="44" s="1"/>
  <c r="AM15" i="44"/>
  <c r="S15" i="44" s="1"/>
  <c r="AL68" i="44"/>
  <c r="O68" i="44" s="1"/>
  <c r="AN68" i="44" s="1"/>
  <c r="AO68" i="44" s="1"/>
  <c r="AM68" i="44"/>
  <c r="AF68" i="44" s="1"/>
  <c r="AS68" i="44" s="1"/>
  <c r="AT68" i="44" s="1"/>
  <c r="AB27" i="44"/>
  <c r="AO27" i="44" s="1"/>
  <c r="AB31" i="44"/>
  <c r="AO31" i="44" s="1"/>
  <c r="AB30" i="44"/>
  <c r="AS30" i="44" s="1"/>
  <c r="AB28" i="44"/>
  <c r="AS28" i="44" s="1"/>
  <c r="AN10" i="44"/>
  <c r="O9" i="44" s="1"/>
  <c r="AN15" i="44"/>
  <c r="AO15" i="44"/>
  <c r="AO10" i="44"/>
  <c r="AF9" i="44" s="1"/>
  <c r="AS26" i="44"/>
  <c r="AO26" i="44"/>
  <c r="AB25" i="44"/>
  <c r="AB32" i="44"/>
  <c r="AB29" i="44"/>
  <c r="AM25" i="44"/>
  <c r="AR32" i="44"/>
  <c r="AM31" i="44"/>
  <c r="AM28" i="44"/>
  <c r="AM30" i="44"/>
  <c r="AS65" i="44"/>
  <c r="AT65" i="44" s="1"/>
  <c r="AM29" i="44"/>
  <c r="AR27" i="44"/>
  <c r="AP32" i="44"/>
  <c r="K34" i="44" s="1"/>
  <c r="AM26" i="44"/>
  <c r="O14" i="44"/>
  <c r="V75" i="44"/>
  <c r="Y81" i="44"/>
  <c r="H11" i="61"/>
  <c r="H10" i="61"/>
  <c r="H9" i="61"/>
  <c r="AT67" i="44"/>
  <c r="AF14" i="44" l="1"/>
  <c r="AS31" i="44"/>
  <c r="AS27" i="44"/>
  <c r="AF16" i="44"/>
  <c r="O16" i="44"/>
  <c r="AM17" i="44" s="1"/>
  <c r="AN17" i="44" s="1"/>
  <c r="AM34" i="44"/>
  <c r="AQ32" i="44"/>
  <c r="AB34" i="44" s="1"/>
  <c r="E7" i="45" s="1"/>
  <c r="E8" i="45" s="1"/>
  <c r="E9" i="45" s="1"/>
  <c r="AP23" i="44" s="1"/>
  <c r="AO28" i="44"/>
  <c r="AO30" i="44"/>
  <c r="AO32" i="44"/>
  <c r="AS32" i="44"/>
  <c r="AS29" i="44"/>
  <c r="AO29" i="44"/>
  <c r="AO25" i="44"/>
  <c r="AS25" i="44"/>
  <c r="AP18" i="44"/>
  <c r="AQ18" i="44" s="1"/>
  <c r="AR33" i="44"/>
  <c r="AR34" i="44" s="1"/>
  <c r="N28" i="44" s="1"/>
  <c r="AF63" i="44"/>
  <c r="D7" i="45"/>
  <c r="D8" i="45" s="1"/>
  <c r="D9" i="45" s="1"/>
  <c r="AO23" i="44" s="1"/>
  <c r="Z96" i="44"/>
  <c r="Z87" i="44"/>
  <c r="Z88" i="44"/>
  <c r="AS33" i="44" l="1"/>
  <c r="AS34" i="44" s="1"/>
  <c r="AO34" i="44"/>
  <c r="AE28" i="44" s="1"/>
  <c r="AF35" i="44" s="1"/>
  <c r="Z63" i="44" s="1"/>
  <c r="AP17" i="44"/>
  <c r="AQ17" i="44" s="1"/>
  <c r="AR17" i="44" s="1"/>
  <c r="AF19" i="44" s="1"/>
  <c r="Z62" i="44" s="1"/>
  <c r="AS62" i="44" s="1"/>
  <c r="AT62" i="44" s="1"/>
  <c r="AM18" i="44"/>
  <c r="AN18" i="44" s="1"/>
  <c r="AO17" i="44" s="1"/>
  <c r="O19" i="44" s="1"/>
  <c r="I62" i="44" s="1"/>
  <c r="AN62" i="44" s="1"/>
  <c r="O35" i="44"/>
  <c r="I63" i="44" s="1"/>
  <c r="AL63" i="44" s="1"/>
  <c r="O63" i="44" s="1"/>
  <c r="AN63" i="44" s="1"/>
  <c r="AO63" i="44" s="1"/>
  <c r="AZ63" i="44" l="1"/>
  <c r="AS63" i="44"/>
  <c r="AT63" i="44" s="1"/>
  <c r="AO62" i="44"/>
  <c r="AP66" i="44" s="1"/>
  <c r="AY63" i="44"/>
  <c r="AY64" i="44"/>
  <c r="AP68" i="44"/>
  <c r="AZ64" i="44" l="1"/>
  <c r="AP63" i="44"/>
  <c r="AP65" i="44"/>
  <c r="AP62" i="44"/>
  <c r="AP67" i="44"/>
  <c r="AP64" i="44"/>
  <c r="AU65" i="44"/>
  <c r="AU67" i="44"/>
  <c r="AU62" i="44"/>
  <c r="AU66" i="44"/>
  <c r="AU63" i="44"/>
  <c r="AU68" i="44"/>
  <c r="AU64" i="44"/>
  <c r="AQ62" i="44" l="1"/>
  <c r="AR62" i="44" s="1"/>
  <c r="AQ63" i="44" s="1"/>
  <c r="AR63" i="44" s="1"/>
  <c r="AQ64" i="44" s="1"/>
  <c r="AR64" i="44" s="1"/>
  <c r="AQ65" i="44" s="1"/>
  <c r="AR65" i="44" s="1"/>
  <c r="AQ66" i="44" s="1"/>
  <c r="AR66" i="44" s="1"/>
  <c r="AQ67" i="44" s="1"/>
  <c r="AR67" i="44" s="1"/>
  <c r="I69" i="44" s="1"/>
  <c r="AP72" i="44" s="1"/>
  <c r="M87" i="44" s="1"/>
  <c r="V87" i="44" s="1"/>
  <c r="AV62" i="44"/>
  <c r="AW62" i="44" s="1"/>
  <c r="AV63" i="44" s="1"/>
  <c r="AW63" i="44" s="1"/>
  <c r="AV64" i="44" s="1"/>
  <c r="AW64" i="44" s="1"/>
  <c r="AV65" i="44" s="1"/>
  <c r="AW65" i="44" s="1"/>
  <c r="AV66" i="44" s="1"/>
  <c r="AW66" i="44" s="1"/>
  <c r="AV67" i="44" s="1"/>
  <c r="AW67" i="44" s="1"/>
  <c r="Z69" i="44" s="1"/>
  <c r="AQ72" i="44" s="1"/>
  <c r="I73" i="44" l="1"/>
  <c r="S91" i="44"/>
  <c r="AE91" i="44" s="1"/>
  <c r="S92" i="44" s="1"/>
  <c r="AE87" i="44"/>
  <c r="AE89" i="44" s="1"/>
  <c r="AE97" i="44" s="1"/>
  <c r="B97" i="44" s="1"/>
  <c r="Y92" i="44"/>
  <c r="I74" i="44"/>
  <c r="Q74" i="44" s="1"/>
  <c r="M88" i="44"/>
  <c r="S77" i="44"/>
  <c r="Y78" i="44" s="1"/>
  <c r="Q73" i="44"/>
  <c r="B75" i="44" l="1"/>
  <c r="AE77" i="44"/>
  <c r="S78" i="44" s="1"/>
  <c r="AE78" i="44" s="1"/>
  <c r="S79" i="44" s="1"/>
  <c r="AE79" i="44" s="1"/>
  <c r="S80" i="44" s="1"/>
  <c r="AE80" i="44" s="1"/>
  <c r="S81" i="44" s="1"/>
  <c r="AE81" i="44" s="1"/>
  <c r="AE92" i="44"/>
  <c r="S93" i="44" s="1"/>
  <c r="AE93" i="44" s="1"/>
  <c r="M96" i="44" s="1"/>
  <c r="V96" i="44" s="1"/>
  <c r="AE96" i="44" s="1"/>
  <c r="V88" i="44"/>
  <c r="AE88" i="44"/>
  <c r="AL74" i="44"/>
  <c r="AM74" i="44" s="1"/>
  <c r="AL73" i="44"/>
  <c r="AM73" i="44" s="1"/>
  <c r="AN73" i="44" l="1"/>
  <c r="AN74" i="44" s="1"/>
  <c r="Q75" i="44" s="1"/>
  <c r="AE75" i="44" l="1"/>
  <c r="AL71" i="44"/>
  <c r="AE82" i="44" l="1"/>
  <c r="B82"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N8" authorId="0" shapeId="0" xr:uid="{00000000-0006-0000-0000-000001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8" authorId="0" shapeId="0" xr:uid="{00000000-0006-0000-0000-000002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N9" authorId="0" shapeId="0" xr:uid="{00000000-0006-0000-0000-000005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9" authorId="0" shapeId="0" xr:uid="{00000000-0006-0000-0000-000006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N10" authorId="0" shapeId="0" xr:uid="{00000000-0006-0000-0000-000007000000}">
      <text>
        <r>
          <rPr>
            <b/>
            <sz val="9"/>
            <color indexed="81"/>
            <rFont val="Tahoma"/>
            <family val="2"/>
          </rPr>
          <t>Bruyns Fred H:</t>
        </r>
        <r>
          <rPr>
            <sz val="9"/>
            <color indexed="81"/>
            <rFont val="Tahoma"/>
            <family val="2"/>
          </rPr>
          <t xml:space="preserve">
Programming note: Formula sums the values above for English measure and Metric 6, only one of which will be greater than zero. (Only one measure may be used.)</t>
        </r>
      </text>
    </comment>
    <comment ref="AO10" authorId="0" shapeId="0" xr:uid="{00000000-0006-0000-0000-000008000000}">
      <text>
        <r>
          <rPr>
            <b/>
            <sz val="9"/>
            <color indexed="81"/>
            <rFont val="Tahoma"/>
            <family val="2"/>
          </rPr>
          <t>Bruyns Fred H:</t>
        </r>
        <r>
          <rPr>
            <sz val="9"/>
            <color indexed="81"/>
            <rFont val="Tahoma"/>
            <family val="2"/>
          </rPr>
          <t xml:space="preserve">
Programming note: Formula sums the values above for English measure and Metric 6, only one of which will be greater than zero. (Only one measure may be used.)</t>
        </r>
      </text>
    </comment>
    <comment ref="AN12" authorId="0" shapeId="0" xr:uid="{00000000-0006-0000-0000-000009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2" authorId="0" shapeId="0" xr:uid="{00000000-0006-0000-0000-00000A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N13" authorId="0" shapeId="0" xr:uid="{00000000-0006-0000-0000-00000B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3" authorId="0" shapeId="0" xr:uid="{00000000-0006-0000-0000-00000C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N14" authorId="0" shapeId="0" xr:uid="{00000000-0006-0000-0000-00000F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4" authorId="0" shapeId="0" xr:uid="{00000000-0006-0000-0000-000010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L15" authorId="0" shapeId="0" xr:uid="{00000000-0006-0000-0000-000011000000}">
      <text>
        <r>
          <rPr>
            <b/>
            <sz val="9"/>
            <color indexed="81"/>
            <rFont val="Tahoma"/>
            <family val="2"/>
          </rPr>
          <t>Bruyns Fred H:</t>
        </r>
        <r>
          <rPr>
            <sz val="9"/>
            <color indexed="81"/>
            <rFont val="Tahoma"/>
            <family val="2"/>
          </rPr>
          <t xml:space="preserve">
Programming note: If the formula returns a sum greater than "1," meaning more than one type of near vision measure has been entered, an error message will display in the chart to the left.</t>
        </r>
      </text>
    </comment>
    <comment ref="AM15" authorId="0" shapeId="0" xr:uid="{00000000-0006-0000-0000-000012000000}">
      <text>
        <r>
          <rPr>
            <b/>
            <sz val="9"/>
            <color indexed="81"/>
            <rFont val="Tahoma"/>
            <family val="2"/>
          </rPr>
          <t>Bruyns Fred H:</t>
        </r>
        <r>
          <rPr>
            <sz val="9"/>
            <color indexed="81"/>
            <rFont val="Tahoma"/>
            <family val="2"/>
          </rPr>
          <t xml:space="preserve">
Programming note: If the formula returns a sum greater than "1," meaning more than one type of near vision measure has been entered, an error message will display in the chart to the left.</t>
        </r>
      </text>
    </comment>
    <comment ref="AN15" authorId="0" shapeId="0" xr:uid="{00000000-0006-0000-0000-000013000000}">
      <text>
        <r>
          <rPr>
            <b/>
            <sz val="9"/>
            <color indexed="81"/>
            <rFont val="Tahoma"/>
            <family val="2"/>
          </rPr>
          <t>Bruyns Fred H:</t>
        </r>
        <r>
          <rPr>
            <sz val="9"/>
            <color indexed="81"/>
            <rFont val="Tahoma"/>
            <family val="2"/>
          </rPr>
          <t xml:space="preserve">
Programming note: Formula sums the values above for Near Snellen, Jaeger, and American Point-type, only one of which will be greater than zero. (Only one measure may be used.)</t>
        </r>
      </text>
    </comment>
    <comment ref="AO15" authorId="0" shapeId="0" xr:uid="{00000000-0006-0000-0000-000014000000}">
      <text>
        <r>
          <rPr>
            <b/>
            <sz val="9"/>
            <color indexed="81"/>
            <rFont val="Tahoma"/>
            <family val="2"/>
          </rPr>
          <t>Bruyns Fred H:</t>
        </r>
        <r>
          <rPr>
            <sz val="9"/>
            <color indexed="81"/>
            <rFont val="Tahoma"/>
            <family val="2"/>
          </rPr>
          <t xml:space="preserve">
Programming note: Formula sums the values above for Near Snellen, Jaeger, and American Point-type, only one of which will be greater than zero. (Only one measure may be used.)</t>
        </r>
      </text>
    </comment>
    <comment ref="AM16" authorId="0" shapeId="0" xr:uid="{00000000-0006-0000-0000-000015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O16" authorId="0" shapeId="0" xr:uid="{00000000-0006-0000-0000-000016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R16" authorId="0" shapeId="0" xr:uid="{00000000-0006-0000-0000-000017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L18" authorId="0" shapeId="0" xr:uid="{00000000-0006-0000-0000-000018000000}">
      <text>
        <r>
          <rPr>
            <b/>
            <sz val="9"/>
            <color indexed="81"/>
            <rFont val="Tahoma"/>
            <family val="2"/>
          </rPr>
          <t>Bruyns Fred H:</t>
        </r>
        <r>
          <rPr>
            <sz val="9"/>
            <color indexed="81"/>
            <rFont val="Tahoma"/>
            <family val="2"/>
          </rPr>
          <t xml:space="preserve">
Programming note: This is the output field for the right eye option buttons.</t>
        </r>
      </text>
    </comment>
    <comment ref="O19" authorId="0" shapeId="0" xr:uid="{00000000-0006-0000-0000-000019000000}">
      <text>
        <r>
          <rPr>
            <b/>
            <sz val="9"/>
            <color indexed="81"/>
            <rFont val="Tahoma"/>
            <family val="2"/>
          </rPr>
          <t>Bruyns Fred H:</t>
        </r>
        <r>
          <rPr>
            <sz val="9"/>
            <color indexed="81"/>
            <rFont val="Tahoma"/>
            <family val="2"/>
          </rPr>
          <t xml:space="preserve">
Programming note: This formula first checks to see if either the near/far vision average is zero or  the lens involvement value is zero; if so, the ouput is the sum of the two values, unrounded. If neither value is equal to zero, the formula returns a combined (rounded) impairment value.</t>
        </r>
      </text>
    </comment>
    <comment ref="AF19" authorId="0" shapeId="0" xr:uid="{00000000-0006-0000-0000-00001A000000}">
      <text>
        <r>
          <rPr>
            <b/>
            <sz val="9"/>
            <color indexed="81"/>
            <rFont val="Tahoma"/>
            <family val="2"/>
          </rPr>
          <t>Bruyns Fred H:</t>
        </r>
        <r>
          <rPr>
            <sz val="9"/>
            <color indexed="81"/>
            <rFont val="Tahoma"/>
            <family val="2"/>
          </rPr>
          <t xml:space="preserve">
Programming note: This formula first checks to see if either the near/far vision average is zero or  the lens involvement value is zero; if so, the ouput is the sum of the two values, unrounded. If neither value is equal to zero, the formula returns a combined (rounded) impairment value.</t>
        </r>
      </text>
    </comment>
    <comment ref="AL19" authorId="0" shapeId="0" xr:uid="{00000000-0006-0000-0000-00001B000000}">
      <text>
        <r>
          <rPr>
            <b/>
            <sz val="9"/>
            <color indexed="81"/>
            <rFont val="Tahoma"/>
            <family val="2"/>
          </rPr>
          <t>Bruyns Fred H:</t>
        </r>
        <r>
          <rPr>
            <sz val="9"/>
            <color indexed="81"/>
            <rFont val="Tahoma"/>
            <family val="2"/>
          </rPr>
          <t xml:space="preserve">
Programming note: This is the output field for the left eye option buttons.</t>
        </r>
      </text>
    </comment>
    <comment ref="AK22" authorId="0" shapeId="0" xr:uid="{00000000-0006-0000-0000-00001C000000}">
      <text>
        <r>
          <rPr>
            <b/>
            <sz val="9"/>
            <color indexed="81"/>
            <rFont val="Tahoma"/>
            <family val="2"/>
          </rPr>
          <t>Bruyns Fred H:</t>
        </r>
        <r>
          <rPr>
            <sz val="9"/>
            <color indexed="81"/>
            <rFont val="Tahoma"/>
            <family val="2"/>
          </rPr>
          <t xml:space="preserve">
Programming note: Checkbox output: TRUE or FALSE.</t>
        </r>
      </text>
    </comment>
    <comment ref="AL22" authorId="0" shapeId="0" xr:uid="{00000000-0006-0000-0000-00001D000000}">
      <text>
        <r>
          <rPr>
            <b/>
            <sz val="9"/>
            <color indexed="81"/>
            <rFont val="Tahoma"/>
            <family val="2"/>
          </rPr>
          <t>Bruyns Fred H:</t>
        </r>
        <r>
          <rPr>
            <sz val="9"/>
            <color indexed="81"/>
            <rFont val="Tahoma"/>
            <family val="2"/>
          </rPr>
          <t xml:space="preserve">
Programming note: Checkbox output: TRUE or FALSE.</t>
        </r>
      </text>
    </comment>
    <comment ref="AO23" authorId="0" shapeId="0" xr:uid="{00000000-0006-0000-0000-00001E000000}">
      <text>
        <r>
          <rPr>
            <b/>
            <sz val="9"/>
            <color indexed="81"/>
            <rFont val="Tahoma"/>
            <family val="2"/>
          </rPr>
          <t>Bruyns Fred H:</t>
        </r>
        <r>
          <rPr>
            <sz val="9"/>
            <color indexed="81"/>
            <rFont val="Tahoma"/>
            <family val="2"/>
          </rPr>
          <t xml:space="preserve">
Programming note: Perimetric values are rated (by formula) in the Eye-Table, and the percentage of impairment is displayed in this cell.</t>
        </r>
      </text>
    </comment>
    <comment ref="AP23" authorId="0" shapeId="0" xr:uid="{00000000-0006-0000-0000-00001F000000}">
      <text>
        <r>
          <rPr>
            <b/>
            <sz val="9"/>
            <color indexed="81"/>
            <rFont val="Tahoma"/>
            <family val="2"/>
          </rPr>
          <t>Bruyns Fred H:</t>
        </r>
        <r>
          <rPr>
            <sz val="9"/>
            <color indexed="81"/>
            <rFont val="Tahoma"/>
            <family val="2"/>
          </rPr>
          <t xml:space="preserve">
Programming note: Perimetric values are rated (by formula) in the Eye-Table, and the percentage of impairment is displayed in this cell.</t>
        </r>
      </text>
    </comment>
    <comment ref="AP31" authorId="0" shapeId="0" xr:uid="{00000000-0006-0000-0000-000020000000}">
      <text>
        <r>
          <rPr>
            <b/>
            <sz val="9"/>
            <color indexed="81"/>
            <rFont val="Tahoma"/>
            <family val="2"/>
          </rPr>
          <t>Bruyns Fred H:</t>
        </r>
        <r>
          <rPr>
            <sz val="9"/>
            <color indexed="81"/>
            <rFont val="Tahoma"/>
            <family val="2"/>
          </rPr>
          <t xml:space="preserve">
The formulas below sum the perimetric values and scotoma. If the Sum = the scotoma value, that means only scotoma has been entered. This will prompt an error message of "Missing perimetric values."</t>
        </r>
      </text>
    </comment>
    <comment ref="AL40" authorId="0" shapeId="0" xr:uid="{00000000-0006-0000-0000-000021000000}">
      <text>
        <r>
          <rPr>
            <b/>
            <sz val="9"/>
            <color indexed="81"/>
            <rFont val="Tahoma"/>
            <family val="2"/>
          </rPr>
          <t>Bruyns Fred H:</t>
        </r>
        <r>
          <rPr>
            <sz val="9"/>
            <color indexed="81"/>
            <rFont val="Tahoma"/>
            <family val="2"/>
          </rPr>
          <t xml:space="preserve">
Programming note: The list below is used to populate pull-down menus in the charts for ocular motility impairment.</t>
        </r>
      </text>
    </comment>
    <comment ref="AL58" authorId="0" shapeId="0" xr:uid="{00000000-0006-0000-0000-000022000000}">
      <text>
        <r>
          <rPr>
            <b/>
            <sz val="9"/>
            <color indexed="81"/>
            <rFont val="Tahoma"/>
            <family val="2"/>
          </rPr>
          <t>Bruyns Fred H:</t>
        </r>
        <r>
          <rPr>
            <sz val="9"/>
            <color indexed="81"/>
            <rFont val="Tahoma"/>
            <family val="2"/>
          </rPr>
          <t xml:space="preserve">
Programming note: TRUE or FALSE are output from enucleation checkboxes in the chart.</t>
        </r>
      </text>
    </comment>
    <comment ref="AM58" authorId="0" shapeId="0" xr:uid="{00000000-0006-0000-0000-000023000000}">
      <text>
        <r>
          <rPr>
            <b/>
            <sz val="9"/>
            <color indexed="81"/>
            <rFont val="Tahoma"/>
            <family val="2"/>
          </rPr>
          <t>Bruyns Fred H:</t>
        </r>
        <r>
          <rPr>
            <sz val="9"/>
            <color indexed="81"/>
            <rFont val="Tahoma"/>
            <family val="2"/>
          </rPr>
          <t xml:space="preserve">
Programming note: TRUE or FALSE are output from enucleation checkboxes in the chart.</t>
        </r>
      </text>
    </comment>
    <comment ref="AN61" authorId="0" shapeId="0" xr:uid="{00000000-0006-0000-0000-000024000000}">
      <text>
        <r>
          <rPr>
            <b/>
            <sz val="9"/>
            <color indexed="81"/>
            <rFont val="Tahoma"/>
            <family val="2"/>
          </rPr>
          <t>Bruyns Fred H:</t>
        </r>
        <r>
          <rPr>
            <sz val="9"/>
            <color indexed="81"/>
            <rFont val="Tahoma"/>
            <family val="2"/>
          </rPr>
          <t xml:space="preserve">
Programming note: Formulas in this column transfer percentages of disability from the chart at the left, from Column I if there is no apportionment, or from Column O if the disability is apportioned.</t>
        </r>
      </text>
    </comment>
    <comment ref="AO61" authorId="0" shapeId="0" xr:uid="{00000000-0006-0000-0000-000025000000}">
      <text>
        <r>
          <rPr>
            <b/>
            <sz val="9"/>
            <color indexed="81"/>
            <rFont val="Tahoma"/>
            <family val="2"/>
          </rPr>
          <t>Bruyns Fred H:</t>
        </r>
        <r>
          <rPr>
            <sz val="9"/>
            <color indexed="81"/>
            <rFont val="Tahoma"/>
            <family val="2"/>
          </rPr>
          <t xml:space="preserve">
Programming note: Transfered values at left are rounded in this column. The value at the bottom of the column is the total impairment value for body part.</t>
        </r>
      </text>
    </comment>
    <comment ref="AP61" authorId="0" shapeId="0" xr:uid="{00000000-0006-0000-0000-000026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Q61" authorId="0" shapeId="0" xr:uid="{00000000-0006-0000-0000-000027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R61" authorId="0" shapeId="0" xr:uid="{00000000-0006-0000-0000-000028000000}">
      <text>
        <r>
          <rPr>
            <b/>
            <sz val="9"/>
            <color indexed="81"/>
            <rFont val="Tahoma"/>
            <family val="2"/>
          </rPr>
          <t>Bruyns Fred H:</t>
        </r>
        <r>
          <rPr>
            <sz val="9"/>
            <color indexed="81"/>
            <rFont val="Tahoma"/>
            <family val="2"/>
          </rPr>
          <t xml:space="preserve">
Programming note: Combined values at left are rounded in this column. The value at the bottom of the column is the total impairment value for body part.</t>
        </r>
      </text>
    </comment>
    <comment ref="AS61" authorId="0" shapeId="0" xr:uid="{00000000-0006-0000-0000-000029000000}">
      <text>
        <r>
          <rPr>
            <b/>
            <sz val="9"/>
            <color indexed="81"/>
            <rFont val="Tahoma"/>
            <family val="2"/>
          </rPr>
          <t>Bruyns Fred H:</t>
        </r>
        <r>
          <rPr>
            <sz val="9"/>
            <color indexed="81"/>
            <rFont val="Tahoma"/>
            <family val="2"/>
          </rPr>
          <t xml:space="preserve">
Programming note: Formulas in this column transfer percentages of disability from the chart at the left, from Column Z if there is no apportionment, or from Column AF if the disability is apportioned.</t>
        </r>
      </text>
    </comment>
    <comment ref="AT61" authorId="0" shapeId="0" xr:uid="{00000000-0006-0000-0000-00002A000000}">
      <text>
        <r>
          <rPr>
            <b/>
            <sz val="9"/>
            <color indexed="81"/>
            <rFont val="Tahoma"/>
            <family val="2"/>
          </rPr>
          <t>Bruyns Fred H:</t>
        </r>
        <r>
          <rPr>
            <sz val="9"/>
            <color indexed="81"/>
            <rFont val="Tahoma"/>
            <family val="2"/>
          </rPr>
          <t xml:space="preserve">
Programming note: Transfered values at left are rounded in this column. The value at the bottom of the column is the total impairment value for body part.</t>
        </r>
      </text>
    </comment>
    <comment ref="AU61" authorId="0" shapeId="0" xr:uid="{00000000-0006-0000-0000-00002B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V61" authorId="0" shapeId="0" xr:uid="{00000000-0006-0000-0000-00002C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W61" authorId="0" shapeId="0" xr:uid="{00000000-0006-0000-0000-00002D000000}">
      <text>
        <r>
          <rPr>
            <b/>
            <sz val="9"/>
            <color indexed="81"/>
            <rFont val="Tahoma"/>
            <family val="2"/>
          </rPr>
          <t>Bruyns Fred H:</t>
        </r>
        <r>
          <rPr>
            <sz val="9"/>
            <color indexed="81"/>
            <rFont val="Tahoma"/>
            <family val="2"/>
          </rPr>
          <t xml:space="preserve">
Programming note: Combined values at left are rounded in this column. The value at the bottom of the column is the total impairment value for body part.</t>
        </r>
      </text>
    </comment>
    <comment ref="AL72" authorId="0" shapeId="0" xr:uid="{00000000-0006-0000-0000-00002E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M72" authorId="0" shapeId="0" xr:uid="{00000000-0006-0000-0000-00002F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N72" authorId="0" shapeId="0" xr:uid="{00000000-0006-0000-0000-000030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1" authorId="0" shapeId="0" xr:uid="{3F6328B8-F17F-40B7-A182-6A7F6A703F77}">
      <text>
        <r>
          <rPr>
            <b/>
            <sz val="9"/>
            <color indexed="81"/>
            <rFont val="Tahoma"/>
            <family val="2"/>
          </rPr>
          <t>Bruyns Fred H:</t>
        </r>
        <r>
          <rPr>
            <sz val="9"/>
            <color indexed="81"/>
            <rFont val="Tahoma"/>
            <family val="2"/>
          </rPr>
          <t xml:space="preserve">
Programming note: See table in OAR 436-035-0260.</t>
        </r>
      </text>
    </comment>
  </commentList>
</comments>
</file>

<file path=xl/sharedStrings.xml><?xml version="1.0" encoding="utf-8"?>
<sst xmlns="http://schemas.openxmlformats.org/spreadsheetml/2006/main" count="350" uniqueCount="237">
  <si>
    <t>Award</t>
  </si>
  <si>
    <t>Ocular motility impairment resulting in binocular diplopia, right eye</t>
  </si>
  <si>
    <t>Ocular motility impairment resulting in binocular diplopia, left eye</t>
  </si>
  <si>
    <t>Determine the single highest value of loss for diplopia noted on each of the standard 45 degree meridians. Sum the percentages of loss up to a maximum of 100%.</t>
  </si>
  <si>
    <t>Direction of gaze</t>
  </si>
  <si>
    <t>Distance from point of fixation</t>
  </si>
  <si>
    <t>Central</t>
  </si>
  <si>
    <t>Central vision to 20 degrees</t>
  </si>
  <si>
    <t>Down</t>
  </si>
  <si>
    <t>21 degrees to 30 degrees</t>
  </si>
  <si>
    <t>Right</t>
  </si>
  <si>
    <t>Beyond 30 degrees</t>
  </si>
  <si>
    <t>Down right</t>
  </si>
  <si>
    <t>Beyond 20 degrees</t>
  </si>
  <si>
    <t>Left</t>
  </si>
  <si>
    <t>Down left</t>
  </si>
  <si>
    <t>Up</t>
  </si>
  <si>
    <t>Up right</t>
  </si>
  <si>
    <t>Up left</t>
  </si>
  <si>
    <t>Sort R</t>
  </si>
  <si>
    <t>Combine R</t>
  </si>
  <si>
    <t>Sort L</t>
  </si>
  <si>
    <t>Combine L</t>
  </si>
  <si>
    <t>Lens involvement</t>
  </si>
  <si>
    <t>Combine acuity loss with lens value, if any. Total central vision loss, right eye:</t>
  </si>
  <si>
    <t>Combine acuity loss with lens value, if any. Total central vision loss, left eye:</t>
  </si>
  <si>
    <t>BCDEF</t>
  </si>
  <si>
    <t>CDEFG</t>
  </si>
  <si>
    <t>DEFGH</t>
  </si>
  <si>
    <t>EFGHA</t>
  </si>
  <si>
    <t>FGHAB</t>
  </si>
  <si>
    <t>GHABC</t>
  </si>
  <si>
    <t>Retained visual field</t>
  </si>
  <si>
    <t>Extent of retained peripheral visual field</t>
  </si>
  <si>
    <t>Percent of loss</t>
  </si>
  <si>
    <t>VLOOKUP degree value and corresponding percentage</t>
  </si>
  <si>
    <t>Right eye</t>
  </si>
  <si>
    <t>Left eye</t>
  </si>
  <si>
    <r>
      <t xml:space="preserve">Percent of whole-person disability times the state average weekly wage times 100 = </t>
    </r>
    <r>
      <rPr>
        <b/>
        <sz val="10"/>
        <rFont val="Times New Roman"/>
        <family val="1"/>
      </rPr>
      <t>binocular impairment award:</t>
    </r>
  </si>
  <si>
    <t>Right eye:</t>
  </si>
  <si>
    <t>Left eye:</t>
  </si>
  <si>
    <t>Binocular impairment award:</t>
  </si>
  <si>
    <t>English measure</t>
  </si>
  <si>
    <t>6/10</t>
  </si>
  <si>
    <t>6/12</t>
  </si>
  <si>
    <t>6/15</t>
  </si>
  <si>
    <t>6/20</t>
  </si>
  <si>
    <t>Date of injury</t>
  </si>
  <si>
    <t>Degrees</t>
  </si>
  <si>
    <t>14/60</t>
  </si>
  <si>
    <t>14/70</t>
  </si>
  <si>
    <t>Multiply the percent of loss in the better eye by three:</t>
  </si>
  <si>
    <t>Add to that result the percent of loss in the other eye:</t>
  </si>
  <si>
    <t>Divide the sum by four. This is the total binocular loss.</t>
  </si>
  <si>
    <t>20/25</t>
  </si>
  <si>
    <t>20/40</t>
  </si>
  <si>
    <t>20/50</t>
  </si>
  <si>
    <t>20/60</t>
  </si>
  <si>
    <t>20/70</t>
  </si>
  <si>
    <t>20/80</t>
  </si>
  <si>
    <t>20/100</t>
  </si>
  <si>
    <t>20/125</t>
  </si>
  <si>
    <t>20/150</t>
  </si>
  <si>
    <t>20/200</t>
  </si>
  <si>
    <t>20/300</t>
  </si>
  <si>
    <t>20/400</t>
  </si>
  <si>
    <t>Able to count fingers at 4 feet</t>
  </si>
  <si>
    <t>Not able to count fingers at 4 feet</t>
  </si>
  <si>
    <t>6/5</t>
  </si>
  <si>
    <t>6/6</t>
  </si>
  <si>
    <t>6/7.5</t>
  </si>
  <si>
    <t>Apportionment
(if applicable)</t>
  </si>
  <si>
    <t>Binocular loss times 94% = percent whole-person disability:</t>
  </si>
  <si>
    <t>Update SAWW worksheet annually.</t>
  </si>
  <si>
    <t>Total ocular motility impairment, right eye:</t>
  </si>
  <si>
    <t>Total ocular motility impairment, left eye:</t>
  </si>
  <si>
    <t>Other eye impairment, right eye</t>
  </si>
  <si>
    <t>Other eye impairment, left eye</t>
  </si>
  <si>
    <t>Glare disturbances</t>
  </si>
  <si>
    <t>Visual Loss Determination</t>
  </si>
  <si>
    <t>Central vision, right eye</t>
  </si>
  <si>
    <t>Central vision, left eye</t>
  </si>
  <si>
    <t>Distance acuity:</t>
  </si>
  <si>
    <t>(Enter English or Metric 6.)</t>
  </si>
  <si>
    <t>20/30</t>
  </si>
  <si>
    <t>Far right</t>
  </si>
  <si>
    <t>Far left</t>
  </si>
  <si>
    <t>Metric 6</t>
  </si>
  <si>
    <t>Near acuity:</t>
  </si>
  <si>
    <t>(Enter one measurement.)</t>
  </si>
  <si>
    <t>Near Snellen Inches</t>
  </si>
  <si>
    <t>Revised Jaeger Standard</t>
  </si>
  <si>
    <t>American Point-type</t>
  </si>
  <si>
    <t>Add near &amp; distance losses and divide by 2:</t>
  </si>
  <si>
    <t>Field adjustment, left eye</t>
  </si>
  <si>
    <t>Field counts</t>
  </si>
  <si>
    <t>A. Temporally</t>
  </si>
  <si>
    <t>14/88</t>
  </si>
  <si>
    <t>14/112</t>
  </si>
  <si>
    <t>14/140</t>
  </si>
  <si>
    <t>Lens not removed</t>
  </si>
  <si>
    <t>Lens removed; replaced with prosthetic lens</t>
  </si>
  <si>
    <t>Lens removed; no replacement</t>
  </si>
  <si>
    <t>None</t>
  </si>
  <si>
    <t>ABC</t>
  </si>
  <si>
    <t>BCD</t>
  </si>
  <si>
    <t>CDE</t>
  </si>
  <si>
    <t>DEF</t>
  </si>
  <si>
    <t>EFG</t>
  </si>
  <si>
    <t>FGH</t>
  </si>
  <si>
    <t>GHA</t>
  </si>
  <si>
    <t>HAB</t>
  </si>
  <si>
    <t>ABCDE</t>
  </si>
  <si>
    <t>Transfer R</t>
  </si>
  <si>
    <t>Transfer L</t>
  </si>
  <si>
    <t>Monocular impairment</t>
  </si>
  <si>
    <t>Maximum 
whole-person percentage</t>
  </si>
  <si>
    <t>Impairment 
award</t>
  </si>
  <si>
    <t>Permanent partial disability calculation for dates of injury on or after 1/1/2005: 
Use the calculation method (monocular or binocular) that results in the greater impairment.</t>
  </si>
  <si>
    <t>+</t>
  </si>
  <si>
    <t>Total impairment, 
right eye:</t>
  </si>
  <si>
    <t>Total impairment, 
left eye:</t>
  </si>
  <si>
    <t>Monocular calculation results in the greater impairment award:</t>
  </si>
  <si>
    <t>Binocular calculation results in the greater impairment award:</t>
  </si>
  <si>
    <t>Maximum carries over to PPD calculation worksheet.</t>
  </si>
  <si>
    <t>Permanent partial disability calculation for dates of injury prior to 1/1/2005: 
Use the calculation method (monocular or binocular) that results in the greater impairment.</t>
  </si>
  <si>
    <t>Binocular impairment</t>
  </si>
  <si>
    <t>Monocular total (added):</t>
  </si>
  <si>
    <t>14/80</t>
  </si>
  <si>
    <t>D. Down nasally</t>
  </si>
  <si>
    <t>E. Nasally</t>
  </si>
  <si>
    <t>F. Up nasally</t>
  </si>
  <si>
    <t>G. Up</t>
  </si>
  <si>
    <t>Scotoma only</t>
  </si>
  <si>
    <t>H. Up temporally</t>
  </si>
  <si>
    <t>Scotoma (minus)</t>
  </si>
  <si>
    <t>Total degrees retained:</t>
  </si>
  <si>
    <t>1=field count problem</t>
  </si>
  <si>
    <t>Percent of loss:</t>
  </si>
  <si>
    <t>ERROR: Enter findings for Monocular Esterman Grid or perimetric measures, not both.</t>
  </si>
  <si>
    <t>Visual field loss, right eye</t>
  </si>
  <si>
    <t>Visual field loss, left eye</t>
  </si>
  <si>
    <t>ME Grid - R</t>
  </si>
  <si>
    <t>ME Grid - L</t>
  </si>
  <si>
    <t>Peri - R</t>
  </si>
  <si>
    <t>Peri - L</t>
  </si>
  <si>
    <t>Check box if all meridians are atleast minimal normal. Enter scotoma value, if applicable.</t>
  </si>
  <si>
    <t>X</t>
  </si>
  <si>
    <t>=</t>
  </si>
  <si>
    <t>Percent</t>
  </si>
  <si>
    <t>Moderate</t>
  </si>
  <si>
    <t>Monocular diplopia</t>
  </si>
  <si>
    <t>Combined disability, right eye</t>
  </si>
  <si>
    <t>Combined disability, left eye</t>
  </si>
  <si>
    <t>Visual field loss</t>
  </si>
  <si>
    <t>Ocular motility impairment</t>
  </si>
  <si>
    <t>20/15</t>
  </si>
  <si>
    <t>20/20</t>
  </si>
  <si>
    <t>Zeros added due to field loss + 1/2 the sum of normal values of boundary meridians.</t>
  </si>
  <si>
    <t>Worker's name and claim no:</t>
  </si>
  <si>
    <t>96.1 - 192 degrees
(prior to 1/1/96)</t>
  </si>
  <si>
    <t>192.1 - 320 degrees
(prior to 1/1/96)</t>
  </si>
  <si>
    <t>0-64 degrees
(on or after 1/1/96)</t>
  </si>
  <si>
    <t>64.1 - 160 degrees
(on or after 1/1/96)</t>
  </si>
  <si>
    <t>160.1 - 320 degrees
(on or after 1/1/96)</t>
  </si>
  <si>
    <t>Rate Start Date</t>
  </si>
  <si>
    <t>Dollars/Deg</t>
  </si>
  <si>
    <t>Injury date:</t>
  </si>
  <si>
    <t>Enter perimetric masurements, even if greater than minimal normal levels; the calculator will adjust to minimal normal for rating purposes. If one-quarter or one-half of the visual field has been lost, enter the letters for the three to five meridians involved (including the boundary meridians).</t>
  </si>
  <si>
    <t>Stereopsis</t>
  </si>
  <si>
    <t>Severe</t>
  </si>
  <si>
    <t>Dollars per degree</t>
  </si>
  <si>
    <t>Tier 1</t>
  </si>
  <si>
    <t>Tier 2</t>
  </si>
  <si>
    <t>Tier 3</t>
  </si>
  <si>
    <t xml:space="preserve">Monocular total (combined) </t>
  </si>
  <si>
    <t>Preliminary R Eye</t>
  </si>
  <si>
    <t>Preliminary L Eye</t>
  </si>
  <si>
    <t>Monocular Esterman Grid</t>
  </si>
  <si>
    <t>OR</t>
  </si>
  <si>
    <t>Field adjustment, right eye</t>
  </si>
  <si>
    <t>Round1-R</t>
  </si>
  <si>
    <t>1/4 or 1/2 field loss:</t>
  </si>
  <si>
    <t>B. Down temporally</t>
  </si>
  <si>
    <t>C. Down</t>
  </si>
  <si>
    <t>HABCD</t>
  </si>
  <si>
    <t>To the extent that stereopsis (depth perception), glare disturbances or monocular diplopia causes visual impairment that is not reflected in visual acuity, visual field, or ocular motility impairment, combine an additional 5% when in the opinion of the physician the impairment is moderate, 10% if the impairment is severe.</t>
  </si>
  <si>
    <t>Round2-R</t>
  </si>
  <si>
    <t>Round1-L</t>
  </si>
  <si>
    <t>Round R</t>
  </si>
  <si>
    <t>Round L</t>
  </si>
  <si>
    <t>SAWW</t>
  </si>
  <si>
    <t>X 100 =</t>
  </si>
  <si>
    <t>6/22</t>
  </si>
  <si>
    <t>6/24</t>
  </si>
  <si>
    <t>6/30</t>
  </si>
  <si>
    <t>6/38</t>
  </si>
  <si>
    <t>6/50</t>
  </si>
  <si>
    <t>6/60</t>
  </si>
  <si>
    <t>6/90</t>
  </si>
  <si>
    <t>6/120</t>
  </si>
  <si>
    <t>14/14</t>
  </si>
  <si>
    <t>14/18</t>
  </si>
  <si>
    <t>14/21</t>
  </si>
  <si>
    <t>14/24</t>
  </si>
  <si>
    <t>14/28</t>
  </si>
  <si>
    <t>14/35</t>
  </si>
  <si>
    <t>14/40</t>
  </si>
  <si>
    <t>14/45</t>
  </si>
  <si>
    <t>Max. degrees</t>
  </si>
  <si>
    <t>State average weekly wage (SAWW) look-up</t>
  </si>
  <si>
    <t>Enter updated SAWW annually. See Bulletin 111.</t>
  </si>
  <si>
    <t>SAWW at injury</t>
  </si>
  <si>
    <t>Scheduled</t>
  </si>
  <si>
    <t>Dollars Per Degree for Dates of Injury Prior to 1/1/2005</t>
  </si>
  <si>
    <t>Date of injury (required):</t>
  </si>
  <si>
    <t>Round2-L</t>
  </si>
  <si>
    <t>1=keep to 100ths place</t>
  </si>
  <si>
    <t>÷</t>
  </si>
  <si>
    <t>Monocular total</t>
  </si>
  <si>
    <t>Unscheduled</t>
  </si>
  <si>
    <t>0-96 degrees
(prior to 1/1/96)</t>
  </si>
  <si>
    <t>Missing perimetric values</t>
  </si>
  <si>
    <t>Enucleation (removal) of the eye</t>
  </si>
  <si>
    <t>Enucleation</t>
  </si>
  <si>
    <t>Programming note</t>
  </si>
  <si>
    <t>Sort</t>
  </si>
  <si>
    <t>Round</t>
  </si>
  <si>
    <t>Combine</t>
  </si>
  <si>
    <t>Data below is used for data validation - pull-down menus and minimum/maxium values allowed for data entry.</t>
  </si>
  <si>
    <t>Central vision loss</t>
  </si>
  <si>
    <t>Apportionment - left</t>
  </si>
  <si>
    <t>Apportionment - right</t>
  </si>
  <si>
    <t>Near right</t>
  </si>
  <si>
    <t>Near left</t>
  </si>
  <si>
    <t>Use this calculator only for claim closures occurring on or after Dec. 4, 2022.</t>
  </si>
  <si>
    <t>NOTE: This worksheet is for vision impairment only. If the worker has other impairment or work disability, use the whole person PPD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</si>
</sst>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0%"/>
    <numFmt numFmtId="165" formatCode="0.0000%"/>
    <numFmt numFmtId="166" formatCode="&quot;$&quot;#,##0.00"/>
    <numFmt numFmtId="167" formatCode="0_);\(0\)"/>
    <numFmt numFmtId="168" formatCode="&quot;$&quot;#,##0"/>
  </numFmts>
  <fonts count="22" x14ac:knownFonts="1">
    <font>
      <sz val="10"/>
      <name val="Arial"/>
    </font>
    <font>
      <sz val="10"/>
      <name val="Arial"/>
      <family val="2"/>
    </font>
    <font>
      <sz val="10"/>
      <name val="Times New Roman"/>
      <family val="1"/>
    </font>
    <font>
      <b/>
      <sz val="10"/>
      <name val="Times New Roman"/>
      <family val="1"/>
    </font>
    <font>
      <b/>
      <sz val="9"/>
      <name val="Times New Roman"/>
      <family val="1"/>
    </font>
    <font>
      <sz val="9"/>
      <name val="Times New Roman"/>
      <family val="1"/>
    </font>
    <font>
      <i/>
      <sz val="10"/>
      <color indexed="17"/>
      <name val="Times New Roman"/>
      <family val="1"/>
    </font>
    <font>
      <sz val="10"/>
      <color indexed="8"/>
      <name val="Times New Roman"/>
      <family val="1"/>
    </font>
    <font>
      <sz val="11"/>
      <name val="Times New Roman"/>
      <family val="1"/>
    </font>
    <font>
      <sz val="10"/>
      <color indexed="10"/>
      <name val="Times New Roman"/>
      <family val="1"/>
    </font>
    <font>
      <sz val="12"/>
      <name val="Times New Roman"/>
      <family val="1"/>
    </font>
    <font>
      <sz val="8"/>
      <name val="Times New Roman"/>
      <family val="1"/>
    </font>
    <font>
      <i/>
      <sz val="9"/>
      <name val="Times New Roman"/>
      <family val="1"/>
    </font>
    <font>
      <i/>
      <sz val="10"/>
      <name val="Times New Roman"/>
      <family val="1"/>
    </font>
    <font>
      <i/>
      <sz val="10"/>
      <color indexed="60"/>
      <name val="Times New Roman"/>
      <family val="1"/>
    </font>
    <font>
      <sz val="10"/>
      <color indexed="17"/>
      <name val="Times New Roman"/>
      <family val="1"/>
    </font>
    <font>
      <sz val="14"/>
      <color indexed="8"/>
      <name val="Times New Roman"/>
      <family val="1"/>
    </font>
    <font>
      <b/>
      <sz val="9"/>
      <color indexed="81"/>
      <name val="Tahoma"/>
      <family val="2"/>
    </font>
    <font>
      <sz val="9"/>
      <color indexed="81"/>
      <name val="Tahoma"/>
      <family val="2"/>
    </font>
    <font>
      <sz val="8"/>
      <color rgb="FF000000"/>
      <name val="Tahoma"/>
      <family val="2"/>
    </font>
    <font>
      <b/>
      <sz val="11"/>
      <name val="Times New Roman"/>
      <family val="1"/>
    </font>
    <font>
      <b/>
      <sz val="10"/>
      <color indexed="9"/>
      <name val="Times New Roman"/>
      <family val="1"/>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1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26">
    <xf numFmtId="0" fontId="0" fillId="0" borderId="0" xfId="0"/>
    <xf numFmtId="0" fontId="2" fillId="0" borderId="0" xfId="0" applyFont="1"/>
    <xf numFmtId="0" fontId="2" fillId="0" borderId="0" xfId="0" applyFont="1" applyAlignment="1">
      <alignment horizontal="center"/>
    </xf>
    <xf numFmtId="0" fontId="2" fillId="0" borderId="0" xfId="0" applyFont="1" applyProtection="1">
      <protection locked="0"/>
    </xf>
    <xf numFmtId="9" fontId="2" fillId="0" borderId="0" xfId="0" applyNumberFormat="1" applyFont="1"/>
    <xf numFmtId="9" fontId="2" fillId="0" borderId="0" xfId="2" applyFont="1"/>
    <xf numFmtId="0" fontId="2" fillId="0" borderId="1" xfId="0" applyFont="1" applyBorder="1"/>
    <xf numFmtId="1" fontId="2" fillId="0" borderId="0" xfId="0" applyNumberFormat="1" applyFont="1" applyAlignment="1">
      <alignment horizontal="right"/>
    </xf>
    <xf numFmtId="0" fontId="2" fillId="0" borderId="0" xfId="0" applyFont="1" applyAlignment="1">
      <alignment horizontal="right"/>
    </xf>
    <xf numFmtId="1" fontId="2" fillId="0" borderId="0" xfId="0" applyNumberFormat="1" applyFont="1"/>
    <xf numFmtId="0" fontId="2" fillId="0" borderId="0" xfId="0" applyFont="1" applyAlignment="1">
      <alignment horizontal="left"/>
    </xf>
    <xf numFmtId="0" fontId="2" fillId="0" borderId="2" xfId="0" applyFont="1" applyBorder="1"/>
    <xf numFmtId="10" fontId="2" fillId="0" borderId="1" xfId="0" applyNumberFormat="1" applyFont="1" applyBorder="1" applyAlignment="1">
      <alignment horizontal="right"/>
    </xf>
    <xf numFmtId="0" fontId="2" fillId="0" borderId="1" xfId="0" applyFont="1" applyBorder="1" applyAlignment="1">
      <alignment horizontal="right"/>
    </xf>
    <xf numFmtId="0" fontId="2" fillId="0" borderId="0" xfId="0" applyFont="1" applyAlignment="1">
      <alignment horizontal="left" vertical="center"/>
    </xf>
    <xf numFmtId="0" fontId="2" fillId="0" borderId="1" xfId="0" applyFont="1" applyBorder="1" applyAlignment="1">
      <alignment horizontal="center"/>
    </xf>
    <xf numFmtId="49" fontId="2" fillId="0" borderId="0" xfId="0" applyNumberFormat="1" applyFont="1"/>
    <xf numFmtId="0" fontId="2" fillId="0" borderId="3" xfId="0" applyFont="1" applyBorder="1" applyAlignment="1">
      <alignment horizontal="center"/>
    </xf>
    <xf numFmtId="14" fontId="2" fillId="0" borderId="0" xfId="0" applyNumberFormat="1" applyFont="1"/>
    <xf numFmtId="0" fontId="2" fillId="0" borderId="0" xfId="0" applyFont="1" applyAlignment="1">
      <alignment horizontal="left" wrapText="1"/>
    </xf>
    <xf numFmtId="0" fontId="9" fillId="0" borderId="0" xfId="0" applyFont="1" applyAlignment="1">
      <alignment horizontal="center"/>
    </xf>
    <xf numFmtId="9" fontId="2" fillId="0" borderId="1" xfId="0" applyNumberFormat="1" applyFont="1" applyBorder="1" applyAlignment="1">
      <alignment horizontal="right"/>
    </xf>
    <xf numFmtId="10" fontId="2" fillId="0" borderId="1" xfId="2" applyNumberFormat="1" applyFont="1" applyBorder="1" applyAlignment="1">
      <alignment horizontal="right"/>
    </xf>
    <xf numFmtId="10" fontId="2" fillId="0" borderId="4" xfId="2" applyNumberFormat="1" applyFont="1" applyBorder="1" applyAlignment="1">
      <alignment horizontal="right"/>
    </xf>
    <xf numFmtId="9" fontId="2" fillId="0" borderId="4" xfId="2" applyFont="1" applyFill="1" applyBorder="1" applyAlignment="1">
      <alignment horizontal="right" wrapText="1"/>
    </xf>
    <xf numFmtId="9" fontId="2" fillId="0" borderId="1" xfId="2" applyFont="1" applyFill="1" applyBorder="1" applyAlignment="1">
      <alignment horizontal="right" wrapText="1"/>
    </xf>
    <xf numFmtId="1" fontId="2" fillId="0" borderId="1" xfId="0" applyNumberFormat="1" applyFont="1" applyBorder="1" applyAlignment="1">
      <alignment horizontal="right"/>
    </xf>
    <xf numFmtId="167" fontId="2" fillId="0" borderId="0" xfId="0" applyNumberFormat="1" applyFont="1"/>
    <xf numFmtId="0" fontId="2" fillId="0" borderId="0" xfId="0" applyFont="1" applyAlignment="1">
      <alignment horizontal="center" wrapText="1"/>
    </xf>
    <xf numFmtId="0" fontId="2" fillId="0" borderId="0" xfId="0" applyFont="1" applyAlignment="1">
      <alignment wrapText="1"/>
    </xf>
    <xf numFmtId="2" fontId="2" fillId="0" borderId="0" xfId="0" applyNumberFormat="1" applyFont="1"/>
    <xf numFmtId="166" fontId="2" fillId="0" borderId="0" xfId="0" applyNumberFormat="1" applyFont="1"/>
    <xf numFmtId="0" fontId="2" fillId="0" borderId="0" xfId="0" quotePrefix="1" applyFont="1"/>
    <xf numFmtId="0" fontId="7" fillId="0" borderId="0" xfId="0" applyFont="1" applyAlignment="1">
      <alignment horizontal="left"/>
    </xf>
    <xf numFmtId="10" fontId="2" fillId="0" borderId="0" xfId="0" applyNumberFormat="1" applyFont="1" applyAlignment="1">
      <alignment horizontal="right"/>
    </xf>
    <xf numFmtId="0" fontId="2" fillId="0" borderId="5" xfId="0" applyFont="1" applyBorder="1" applyAlignment="1">
      <alignment horizontal="right"/>
    </xf>
    <xf numFmtId="0" fontId="2" fillId="0" borderId="0" xfId="0" applyFont="1" applyAlignment="1">
      <alignment horizontal="right" wrapText="1"/>
    </xf>
    <xf numFmtId="1" fontId="2" fillId="0" borderId="0" xfId="2" applyNumberFormat="1" applyFont="1" applyBorder="1" applyAlignment="1">
      <alignment horizontal="right"/>
    </xf>
    <xf numFmtId="10" fontId="2" fillId="0" borderId="0" xfId="2" applyNumberFormat="1" applyFont="1" applyBorder="1" applyAlignment="1">
      <alignment horizontal="right"/>
    </xf>
    <xf numFmtId="9" fontId="2" fillId="0" borderId="0" xfId="0" applyNumberFormat="1" applyFont="1" applyAlignment="1">
      <alignment horizontal="right"/>
    </xf>
    <xf numFmtId="164" fontId="2" fillId="0" borderId="1" xfId="0" applyNumberFormat="1" applyFont="1" applyBorder="1" applyAlignment="1">
      <alignment horizontal="right"/>
    </xf>
    <xf numFmtId="49" fontId="2" fillId="0" borderId="0" xfId="0" applyNumberFormat="1" applyFont="1" applyAlignment="1">
      <alignment horizontal="right"/>
    </xf>
    <xf numFmtId="1" fontId="2" fillId="0" borderId="0" xfId="0" applyNumberFormat="1" applyFont="1" applyAlignment="1">
      <alignment horizontal="right" wrapText="1"/>
    </xf>
    <xf numFmtId="1" fontId="2" fillId="0" borderId="2" xfId="0" applyNumberFormat="1" applyFont="1" applyBorder="1" applyAlignment="1">
      <alignment horizontal="right"/>
    </xf>
    <xf numFmtId="10" fontId="2" fillId="0" borderId="0" xfId="2" applyNumberFormat="1" applyFont="1" applyAlignment="1">
      <alignment horizontal="right"/>
    </xf>
    <xf numFmtId="167" fontId="2" fillId="0" borderId="0" xfId="0" applyNumberFormat="1" applyFont="1" applyAlignment="1">
      <alignment horizontal="right"/>
    </xf>
    <xf numFmtId="0" fontId="2" fillId="0" borderId="0" xfId="0" applyFont="1" applyAlignment="1">
      <alignment horizontal="center" vertical="center" wrapText="1"/>
    </xf>
    <xf numFmtId="165" fontId="2" fillId="0" borderId="0" xfId="0" applyNumberFormat="1" applyFont="1" applyAlignment="1">
      <alignment horizontal="right"/>
    </xf>
    <xf numFmtId="44" fontId="2" fillId="0" borderId="0" xfId="1" applyFont="1" applyBorder="1" applyAlignment="1">
      <alignment horizontal="center"/>
    </xf>
    <xf numFmtId="44" fontId="2" fillId="0" borderId="0" xfId="1" applyFont="1" applyFill="1" applyBorder="1" applyAlignment="1" applyProtection="1">
      <alignment horizontal="center"/>
      <protection hidden="1"/>
    </xf>
    <xf numFmtId="0" fontId="2" fillId="0" borderId="6" xfId="0" applyFont="1" applyBorder="1" applyAlignment="1">
      <alignment horizontal="center" vertical="center" wrapText="1"/>
    </xf>
    <xf numFmtId="14" fontId="2" fillId="0" borderId="1" xfId="0" applyNumberFormat="1"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vertical="center" wrapText="1"/>
    </xf>
    <xf numFmtId="44" fontId="2" fillId="0" borderId="0" xfId="1" applyFont="1" applyFill="1" applyAlignment="1" applyProtection="1">
      <alignment horizontal="center"/>
      <protection hidden="1"/>
    </xf>
    <xf numFmtId="0" fontId="2" fillId="0" borderId="1" xfId="0" applyFont="1" applyBorder="1" applyAlignment="1">
      <alignment horizontal="center" vertical="center"/>
    </xf>
    <xf numFmtId="44" fontId="2" fillId="2" borderId="1" xfId="1" applyFont="1" applyFill="1" applyBorder="1" applyProtection="1">
      <protection locked="0"/>
    </xf>
    <xf numFmtId="44" fontId="2" fillId="0" borderId="1" xfId="1" applyFont="1" applyFill="1" applyBorder="1"/>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9" xfId="0" applyFont="1" applyBorder="1"/>
    <xf numFmtId="0" fontId="2" fillId="0" borderId="10" xfId="0" applyFont="1" applyBorder="1"/>
    <xf numFmtId="14" fontId="2" fillId="0" borderId="1" xfId="0" applyNumberFormat="1" applyFont="1" applyBorder="1"/>
    <xf numFmtId="44" fontId="2" fillId="0" borderId="1" xfId="1" applyFont="1" applyBorder="1"/>
    <xf numFmtId="10" fontId="2" fillId="3" borderId="1" xfId="2" applyNumberFormat="1" applyFont="1" applyFill="1" applyBorder="1" applyAlignment="1">
      <alignment horizontal="center"/>
    </xf>
    <xf numFmtId="0" fontId="2" fillId="0" borderId="4" xfId="0" applyFont="1" applyBorder="1" applyAlignment="1">
      <alignment horizontal="center"/>
    </xf>
    <xf numFmtId="0" fontId="2" fillId="0" borderId="7" xfId="0" applyFont="1" applyBorder="1"/>
    <xf numFmtId="0" fontId="2" fillId="0" borderId="6" xfId="0" applyFont="1" applyBorder="1"/>
    <xf numFmtId="0" fontId="2" fillId="0" borderId="13" xfId="0" applyFont="1" applyBorder="1"/>
    <xf numFmtId="0" fontId="2"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0" fontId="2" fillId="0" borderId="0" xfId="2" applyNumberFormat="1" applyFont="1" applyBorder="1" applyAlignment="1">
      <alignment horizontal="center"/>
    </xf>
    <xf numFmtId="44" fontId="2" fillId="0" borderId="0" xfId="1" applyFont="1" applyAlignment="1">
      <alignment horizontal="right"/>
    </xf>
    <xf numFmtId="0" fontId="3" fillId="0" borderId="9" xfId="0" applyFont="1" applyBorder="1" applyAlignment="1">
      <alignment horizontal="center" vertical="center"/>
    </xf>
    <xf numFmtId="168" fontId="2" fillId="0" borderId="0" xfId="0" applyNumberFormat="1" applyFont="1" applyAlignment="1">
      <alignment horizontal="right"/>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2" fillId="0" borderId="4" xfId="0" applyFont="1" applyBorder="1"/>
    <xf numFmtId="10" fontId="2" fillId="0" borderId="1" xfId="0" applyNumberFormat="1" applyFont="1" applyBorder="1"/>
    <xf numFmtId="44" fontId="2" fillId="2" borderId="1" xfId="1" applyFont="1" applyFill="1" applyBorder="1" applyProtection="1"/>
    <xf numFmtId="8" fontId="2" fillId="0" borderId="1" xfId="0" applyNumberFormat="1" applyFont="1" applyBorder="1"/>
    <xf numFmtId="14" fontId="2" fillId="0" borderId="1" xfId="0" applyNumberFormat="1" applyFont="1" applyBorder="1" applyAlignment="1">
      <alignment horizontal="right"/>
    </xf>
    <xf numFmtId="0" fontId="3" fillId="0" borderId="10" xfId="0" applyFont="1" applyBorder="1" applyAlignment="1">
      <alignment horizontal="center" vertical="center"/>
    </xf>
    <xf numFmtId="44" fontId="2" fillId="0" borderId="0" xfId="1" applyFont="1" applyBorder="1"/>
    <xf numFmtId="44" fontId="2" fillId="3" borderId="1" xfId="1" applyFont="1" applyFill="1" applyBorder="1"/>
    <xf numFmtId="10" fontId="2" fillId="0" borderId="7" xfId="2" applyNumberFormat="1" applyFont="1" applyBorder="1" applyAlignment="1">
      <alignment horizontal="center"/>
    </xf>
    <xf numFmtId="9" fontId="2" fillId="0" borderId="0" xfId="2" applyFont="1" applyBorder="1" applyAlignment="1">
      <alignment horizontal="right"/>
    </xf>
    <xf numFmtId="0" fontId="2" fillId="0" borderId="1" xfId="0" applyFont="1" applyBorder="1" applyAlignment="1">
      <alignment horizontal="left"/>
    </xf>
    <xf numFmtId="0" fontId="3" fillId="0" borderId="1" xfId="0" applyFont="1" applyBorder="1" applyAlignment="1">
      <alignment horizontal="center" wrapText="1"/>
    </xf>
    <xf numFmtId="10" fontId="2" fillId="0" borderId="1" xfId="2" applyNumberFormat="1" applyFont="1" applyBorder="1"/>
    <xf numFmtId="9" fontId="2" fillId="0" borderId="1" xfId="0" applyNumberFormat="1" applyFont="1" applyBorder="1"/>
    <xf numFmtId="9" fontId="2" fillId="0" borderId="1" xfId="2" applyFont="1" applyBorder="1" applyAlignment="1">
      <alignment horizontal="right"/>
    </xf>
    <xf numFmtId="0" fontId="2" fillId="0" borderId="1" xfId="0" applyFont="1" applyBorder="1" applyAlignment="1" applyProtection="1">
      <alignment horizontal="right"/>
      <protection locked="0"/>
    </xf>
    <xf numFmtId="10" fontId="2" fillId="0" borderId="1" xfId="1" applyNumberFormat="1" applyFont="1" applyBorder="1" applyAlignment="1">
      <alignment horizontal="right"/>
    </xf>
    <xf numFmtId="9" fontId="2" fillId="0" borderId="1" xfId="0" applyNumberFormat="1" applyFont="1" applyBorder="1" applyAlignment="1">
      <alignment horizontal="left"/>
    </xf>
    <xf numFmtId="10" fontId="2" fillId="0" borderId="4" xfId="0" applyNumberFormat="1" applyFont="1" applyBorder="1"/>
    <xf numFmtId="164" fontId="2" fillId="0" borderId="4" xfId="0" applyNumberFormat="1" applyFont="1" applyBorder="1" applyAlignment="1">
      <alignment horizontal="right"/>
    </xf>
    <xf numFmtId="0" fontId="2" fillId="0" borderId="1" xfId="0" applyFont="1" applyBorder="1" applyAlignment="1">
      <alignment horizontal="left" wrapText="1"/>
    </xf>
    <xf numFmtId="1" fontId="2" fillId="0" borderId="1" xfId="0" applyNumberFormat="1" applyFont="1" applyBorder="1" applyAlignment="1">
      <alignment horizontal="left"/>
    </xf>
    <xf numFmtId="9" fontId="2" fillId="0" borderId="1" xfId="2" applyFont="1" applyBorder="1" applyAlignment="1" applyProtection="1">
      <alignment horizontal="left"/>
    </xf>
    <xf numFmtId="0" fontId="2" fillId="0" borderId="1" xfId="0" applyFont="1" applyBorder="1" applyAlignment="1">
      <alignment wrapText="1"/>
    </xf>
    <xf numFmtId="0" fontId="11" fillId="0" borderId="12" xfId="0" applyFont="1" applyBorder="1" applyAlignment="1">
      <alignment vertical="center" wrapText="1"/>
    </xf>
    <xf numFmtId="0" fontId="11" fillId="0" borderId="8" xfId="0" applyFont="1" applyBorder="1" applyAlignment="1">
      <alignment vertical="center" wrapText="1"/>
    </xf>
    <xf numFmtId="0" fontId="11" fillId="0" borderId="11" xfId="0" applyFont="1" applyBorder="1" applyAlignment="1">
      <alignment vertical="center" wrapText="1"/>
    </xf>
    <xf numFmtId="0" fontId="11" fillId="0" borderId="5"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2" fillId="0" borderId="2" xfId="0" applyFont="1" applyBorder="1" applyAlignment="1">
      <alignment horizontal="left" wrapText="1"/>
    </xf>
    <xf numFmtId="0" fontId="2" fillId="0" borderId="10" xfId="0" applyFont="1" applyBorder="1" applyAlignment="1">
      <alignment horizontal="left" wrapText="1"/>
    </xf>
    <xf numFmtId="44" fontId="2" fillId="0" borderId="2" xfId="1" applyFont="1" applyBorder="1" applyAlignment="1">
      <alignment horizontal="left"/>
    </xf>
    <xf numFmtId="44" fontId="2" fillId="0" borderId="10" xfId="1" applyFont="1" applyBorder="1" applyAlignment="1">
      <alignment horizontal="left"/>
    </xf>
    <xf numFmtId="0" fontId="3" fillId="0" borderId="1" xfId="0" applyFont="1" applyBorder="1" applyAlignment="1">
      <alignment horizontal="left"/>
    </xf>
    <xf numFmtId="0" fontId="2" fillId="0" borderId="2"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10" fontId="2" fillId="3" borderId="2" xfId="0" applyNumberFormat="1" applyFont="1" applyFill="1" applyBorder="1" applyAlignment="1">
      <alignment horizontal="center"/>
    </xf>
    <xf numFmtId="10" fontId="2" fillId="3" borderId="9" xfId="0" applyNumberFormat="1" applyFont="1" applyFill="1" applyBorder="1" applyAlignment="1">
      <alignment horizontal="center"/>
    </xf>
    <xf numFmtId="10" fontId="2" fillId="3" borderId="10" xfId="0" applyNumberFormat="1" applyFont="1" applyFill="1" applyBorder="1" applyAlignment="1">
      <alignment horizontal="center"/>
    </xf>
    <xf numFmtId="9" fontId="2" fillId="2" borderId="2" xfId="2" applyFont="1" applyFill="1" applyBorder="1" applyAlignment="1" applyProtection="1">
      <alignment horizontal="center"/>
      <protection locked="0"/>
    </xf>
    <xf numFmtId="9" fontId="2" fillId="2" borderId="9" xfId="2" applyFont="1" applyFill="1" applyBorder="1" applyAlignment="1" applyProtection="1">
      <alignment horizontal="center"/>
      <protection locked="0"/>
    </xf>
    <xf numFmtId="9" fontId="2" fillId="2" borderId="10" xfId="2" applyFont="1" applyFill="1" applyBorder="1" applyAlignment="1" applyProtection="1">
      <alignment horizontal="center"/>
      <protection locked="0"/>
    </xf>
    <xf numFmtId="10" fontId="15" fillId="3" borderId="2" xfId="2" applyNumberFormat="1" applyFont="1" applyFill="1" applyBorder="1" applyAlignment="1">
      <alignment horizontal="center" wrapText="1"/>
    </xf>
    <xf numFmtId="10" fontId="15" fillId="3" borderId="9" xfId="2" applyNumberFormat="1" applyFont="1" applyFill="1" applyBorder="1" applyAlignment="1">
      <alignment horizontal="center" wrapText="1"/>
    </xf>
    <xf numFmtId="10" fontId="15" fillId="3" borderId="10" xfId="2" applyNumberFormat="1" applyFont="1" applyFill="1" applyBorder="1" applyAlignment="1">
      <alignment horizontal="center" wrapText="1"/>
    </xf>
    <xf numFmtId="44" fontId="2" fillId="3" borderId="1" xfId="0" applyNumberFormat="1" applyFont="1" applyFill="1" applyBorder="1" applyAlignment="1">
      <alignment horizontal="center"/>
    </xf>
    <xf numFmtId="0" fontId="2" fillId="0" borderId="5" xfId="0" applyFont="1" applyBorder="1" applyAlignment="1">
      <alignment horizontal="right"/>
    </xf>
    <xf numFmtId="0" fontId="2" fillId="0" borderId="0" xfId="0" applyFont="1" applyAlignment="1">
      <alignment horizontal="right"/>
    </xf>
    <xf numFmtId="0" fontId="2" fillId="0" borderId="1" xfId="0" applyFont="1" applyBorder="1" applyAlignment="1">
      <alignment horizontal="left"/>
    </xf>
    <xf numFmtId="0" fontId="4" fillId="0" borderId="1" xfId="0" applyFont="1" applyBorder="1" applyAlignment="1">
      <alignment horizontal="center" vertical="center" wrapText="1"/>
    </xf>
    <xf numFmtId="10" fontId="2" fillId="3" borderId="1" xfId="2" applyNumberFormat="1" applyFont="1" applyFill="1" applyBorder="1" applyAlignment="1">
      <alignment horizontal="center"/>
    </xf>
    <xf numFmtId="0" fontId="3" fillId="0" borderId="1" xfId="0" applyFont="1" applyBorder="1" applyAlignment="1">
      <alignment horizontal="center" vertical="center" wrapText="1"/>
    </xf>
    <xf numFmtId="10" fontId="3" fillId="0" borderId="1" xfId="2" applyNumberFormat="1" applyFont="1" applyFill="1" applyBorder="1" applyAlignment="1">
      <alignment horizontal="right" wrapText="1"/>
    </xf>
    <xf numFmtId="44" fontId="3" fillId="3" borderId="1" xfId="1" applyFont="1" applyFill="1" applyBorder="1" applyAlignment="1">
      <alignment horizontal="center"/>
    </xf>
    <xf numFmtId="14" fontId="7" fillId="2" borderId="2" xfId="0" applyNumberFormat="1" applyFont="1" applyFill="1" applyBorder="1" applyAlignment="1" applyProtection="1">
      <alignment horizontal="center"/>
      <protection locked="0"/>
    </xf>
    <xf numFmtId="14" fontId="7" fillId="2" borderId="9" xfId="0" applyNumberFormat="1" applyFont="1" applyFill="1" applyBorder="1" applyAlignment="1" applyProtection="1">
      <alignment horizontal="center"/>
      <protection locked="0"/>
    </xf>
    <xf numFmtId="14" fontId="7" fillId="2" borderId="10" xfId="0" applyNumberFormat="1" applyFont="1" applyFill="1" applyBorder="1" applyAlignment="1" applyProtection="1">
      <alignment horizontal="center"/>
      <protection locked="0"/>
    </xf>
    <xf numFmtId="0" fontId="2" fillId="0" borderId="1" xfId="0" applyFont="1" applyBorder="1" applyAlignment="1">
      <alignment horizontal="left" vertical="center"/>
    </xf>
    <xf numFmtId="0" fontId="3" fillId="0" borderId="1" xfId="0" applyFont="1" applyBorder="1" applyAlignment="1">
      <alignment horizontal="center" vertical="center"/>
    </xf>
    <xf numFmtId="44" fontId="2" fillId="3" borderId="1" xfId="1" applyFont="1" applyFill="1" applyBorder="1" applyAlignment="1">
      <alignment horizontal="right"/>
    </xf>
    <xf numFmtId="0" fontId="2" fillId="3" borderId="1" xfId="0" applyFont="1" applyFill="1" applyBorder="1" applyAlignment="1">
      <alignment horizontal="center"/>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2" fontId="2" fillId="3" borderId="1" xfId="0" applyNumberFormat="1" applyFont="1" applyFill="1" applyBorder="1" applyAlignment="1">
      <alignment horizontal="center"/>
    </xf>
    <xf numFmtId="9" fontId="2" fillId="3" borderId="1" xfId="0" applyNumberFormat="1" applyFont="1" applyFill="1" applyBorder="1" applyAlignment="1">
      <alignment horizontal="center"/>
    </xf>
    <xf numFmtId="0" fontId="2" fillId="0" borderId="1" xfId="0" applyFont="1" applyBorder="1" applyAlignment="1">
      <alignment horizontal="center"/>
    </xf>
    <xf numFmtId="9" fontId="2" fillId="3" borderId="1" xfId="2" applyFont="1" applyFill="1" applyBorder="1" applyAlignment="1">
      <alignment horizont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44" fontId="3" fillId="3" borderId="1" xfId="1" applyFont="1" applyFill="1" applyBorder="1" applyAlignment="1">
      <alignment horizontal="right"/>
    </xf>
    <xf numFmtId="0" fontId="3" fillId="0" borderId="2"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10" fontId="2" fillId="2" borderId="1" xfId="2" applyNumberFormat="1" applyFont="1" applyFill="1" applyBorder="1" applyAlignment="1" applyProtection="1">
      <alignment horizontal="center"/>
      <protection locked="0"/>
    </xf>
    <xf numFmtId="10" fontId="2" fillId="2" borderId="2" xfId="2" applyNumberFormat="1" applyFont="1" applyFill="1" applyBorder="1" applyAlignment="1" applyProtection="1">
      <alignment horizontal="center"/>
      <protection locked="0"/>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2" fillId="0" borderId="1" xfId="0" applyFont="1" applyBorder="1" applyAlignment="1">
      <alignment horizontal="left" wrapText="1"/>
    </xf>
    <xf numFmtId="10" fontId="3" fillId="0" borderId="1" xfId="2" applyNumberFormat="1" applyFont="1" applyBorder="1" applyAlignment="1">
      <alignment horizontal="right" wrapText="1"/>
    </xf>
    <xf numFmtId="10" fontId="2" fillId="3" borderId="1" xfId="0" applyNumberFormat="1" applyFont="1" applyFill="1" applyBorder="1" applyAlignment="1">
      <alignment horizontal="center"/>
    </xf>
    <xf numFmtId="10" fontId="2" fillId="3" borderId="4" xfId="0" applyNumberFormat="1" applyFont="1" applyFill="1" applyBorder="1" applyAlignment="1">
      <alignment horizontal="center"/>
    </xf>
    <xf numFmtId="0" fontId="2" fillId="3" borderId="2"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10" fontId="2" fillId="3" borderId="4" xfId="2" applyNumberFormat="1" applyFont="1" applyFill="1" applyBorder="1" applyAlignment="1">
      <alignment horizontal="center"/>
    </xf>
    <xf numFmtId="0" fontId="20" fillId="0" borderId="1" xfId="0" applyFont="1" applyBorder="1" applyAlignment="1">
      <alignment horizontal="center"/>
    </xf>
    <xf numFmtId="1" fontId="2" fillId="0" borderId="1" xfId="0" applyNumberFormat="1" applyFont="1" applyBorder="1" applyAlignment="1">
      <alignment horizontal="center"/>
    </xf>
    <xf numFmtId="1" fontId="2" fillId="0" borderId="2" xfId="0" applyNumberFormat="1" applyFont="1" applyBorder="1" applyAlignment="1">
      <alignment horizontal="center"/>
    </xf>
    <xf numFmtId="0" fontId="2" fillId="2" borderId="2"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14"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4" xfId="0" applyFont="1" applyBorder="1" applyAlignment="1">
      <alignment horizontal="center" vertical="center" wrapText="1"/>
    </xf>
    <xf numFmtId="0" fontId="2" fillId="0" borderId="2"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3" borderId="2" xfId="0" applyFont="1" applyFill="1" applyBorder="1" applyAlignment="1">
      <alignment horizontal="center" wrapText="1"/>
    </xf>
    <xf numFmtId="0" fontId="2" fillId="3" borderId="9" xfId="0" applyFont="1" applyFill="1" applyBorder="1" applyAlignment="1">
      <alignment horizontal="center" wrapText="1"/>
    </xf>
    <xf numFmtId="0" fontId="2" fillId="3" borderId="10" xfId="0" applyFont="1" applyFill="1" applyBorder="1" applyAlignment="1">
      <alignment horizontal="center" wrapText="1"/>
    </xf>
    <xf numFmtId="0" fontId="2" fillId="3" borderId="1"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2"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2" fillId="2" borderId="1" xfId="0" applyFont="1" applyFill="1" applyBorder="1" applyAlignment="1" applyProtection="1">
      <alignment horizontal="center" wrapText="1"/>
      <protection locked="0"/>
    </xf>
    <xf numFmtId="0" fontId="2" fillId="2" borderId="1" xfId="0" applyFont="1" applyFill="1" applyBorder="1" applyAlignment="1">
      <alignment horizontal="center" wrapText="1"/>
    </xf>
    <xf numFmtId="0" fontId="2" fillId="2" borderId="1" xfId="0"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10" fontId="2" fillId="3" borderId="1" xfId="0" applyNumberFormat="1" applyFont="1" applyFill="1" applyBorder="1" applyAlignment="1">
      <alignment horizontal="center" wrapText="1"/>
    </xf>
    <xf numFmtId="0" fontId="2" fillId="2" borderId="1" xfId="0" applyFont="1" applyFill="1" applyBorder="1" applyAlignment="1" applyProtection="1">
      <alignment horizontal="center" vertical="center" wrapText="1"/>
      <protection locked="0"/>
    </xf>
    <xf numFmtId="0" fontId="13" fillId="0" borderId="1" xfId="0" applyFont="1" applyBorder="1" applyAlignment="1">
      <alignment horizontal="center" wrapText="1"/>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10" fontId="2" fillId="3" borderId="12" xfId="2" applyNumberFormat="1" applyFont="1" applyFill="1" applyBorder="1" applyAlignment="1">
      <alignment horizontal="center" wrapText="1"/>
    </xf>
    <xf numFmtId="10" fontId="2" fillId="3" borderId="8" xfId="2" applyNumberFormat="1" applyFont="1" applyFill="1" applyBorder="1" applyAlignment="1">
      <alignment horizontal="center" wrapText="1"/>
    </xf>
    <xf numFmtId="10" fontId="2" fillId="3" borderId="11" xfId="2" applyNumberFormat="1" applyFont="1" applyFill="1" applyBorder="1" applyAlignment="1">
      <alignment horizontal="center" wrapText="1"/>
    </xf>
    <xf numFmtId="10" fontId="2" fillId="3" borderId="14" xfId="2" applyNumberFormat="1" applyFont="1" applyFill="1" applyBorder="1" applyAlignment="1">
      <alignment horizontal="center" wrapText="1"/>
    </xf>
    <xf numFmtId="10" fontId="2" fillId="3" borderId="6" xfId="2" applyNumberFormat="1" applyFont="1" applyFill="1" applyBorder="1" applyAlignment="1">
      <alignment horizontal="center" wrapText="1"/>
    </xf>
    <xf numFmtId="10" fontId="2" fillId="3" borderId="13" xfId="2" applyNumberFormat="1" applyFont="1" applyFill="1" applyBorder="1" applyAlignment="1">
      <alignment horizontal="center" wrapText="1"/>
    </xf>
    <xf numFmtId="10" fontId="2" fillId="3" borderId="2" xfId="2" applyNumberFormat="1" applyFont="1" applyFill="1" applyBorder="1" applyAlignment="1">
      <alignment horizontal="center"/>
    </xf>
    <xf numFmtId="10" fontId="2" fillId="3" borderId="9" xfId="2" applyNumberFormat="1" applyFont="1" applyFill="1" applyBorder="1" applyAlignment="1">
      <alignment horizontal="center"/>
    </xf>
    <xf numFmtId="10" fontId="2" fillId="3" borderId="10" xfId="2" applyNumberFormat="1" applyFont="1" applyFill="1" applyBorder="1" applyAlignment="1">
      <alignment horizontal="center"/>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16"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1" xfId="0" applyFont="1" applyBorder="1" applyAlignment="1">
      <alignment horizontal="left"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1" fontId="2" fillId="0" borderId="1" xfId="0" applyNumberFormat="1" applyFont="1" applyBorder="1" applyAlignment="1">
      <alignment horizontal="right" wrapText="1"/>
    </xf>
    <xf numFmtId="10" fontId="2" fillId="3" borderId="1" xfId="2" applyNumberFormat="1" applyFont="1" applyFill="1" applyBorder="1" applyAlignment="1">
      <alignment horizontal="center" wrapText="1"/>
    </xf>
    <xf numFmtId="10" fontId="2" fillId="3" borderId="1" xfId="2" applyNumberFormat="1" applyFont="1" applyFill="1" applyBorder="1" applyAlignment="1">
      <alignment horizontal="center" vertical="center" wrapText="1"/>
    </xf>
    <xf numFmtId="0" fontId="2" fillId="2" borderId="1" xfId="0" applyFont="1" applyFill="1" applyBorder="1" applyAlignment="1" applyProtection="1">
      <alignment horizontal="center"/>
      <protection locked="0"/>
    </xf>
    <xf numFmtId="0" fontId="2" fillId="0" borderId="2" xfId="0" applyFont="1" applyBorder="1" applyAlignment="1">
      <alignment horizontal="left" shrinkToFit="1"/>
    </xf>
    <xf numFmtId="0" fontId="2" fillId="0" borderId="9" xfId="0" applyFont="1" applyBorder="1" applyAlignment="1">
      <alignment horizontal="left" shrinkToFit="1"/>
    </xf>
    <xf numFmtId="0" fontId="2" fillId="0" borderId="10" xfId="0" applyFont="1" applyBorder="1" applyAlignment="1">
      <alignment horizontal="left" shrinkToFit="1"/>
    </xf>
    <xf numFmtId="1" fontId="2" fillId="0" borderId="1" xfId="0" applyNumberFormat="1" applyFont="1" applyBorder="1" applyAlignment="1">
      <alignment horizontal="right"/>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1" fontId="2" fillId="0" borderId="3" xfId="0" applyNumberFormat="1" applyFont="1" applyBorder="1" applyAlignment="1">
      <alignment horizontal="right" wrapText="1"/>
    </xf>
    <xf numFmtId="10" fontId="2" fillId="3" borderId="2" xfId="0" applyNumberFormat="1" applyFont="1" applyFill="1" applyBorder="1" applyAlignment="1">
      <alignment horizontal="center" vertical="center" wrapText="1"/>
    </xf>
    <xf numFmtId="10" fontId="2" fillId="3" borderId="9" xfId="0" applyNumberFormat="1" applyFont="1" applyFill="1" applyBorder="1" applyAlignment="1">
      <alignment horizontal="center" vertical="center" wrapText="1"/>
    </xf>
    <xf numFmtId="10" fontId="2" fillId="3" borderId="10" xfId="0" applyNumberFormat="1" applyFont="1" applyFill="1" applyBorder="1" applyAlignment="1">
      <alignment horizontal="center" vertical="center" wrapText="1"/>
    </xf>
    <xf numFmtId="10" fontId="2" fillId="3" borderId="2" xfId="2" applyNumberFormat="1" applyFont="1" applyFill="1" applyBorder="1" applyAlignment="1">
      <alignment horizontal="center" vertical="center" wrapText="1"/>
    </xf>
    <xf numFmtId="10" fontId="2" fillId="3" borderId="9" xfId="2" applyNumberFormat="1" applyFont="1" applyFill="1" applyBorder="1" applyAlignment="1">
      <alignment horizontal="center" vertical="center" wrapText="1"/>
    </xf>
    <xf numFmtId="10" fontId="2" fillId="3" borderId="10" xfId="2" applyNumberFormat="1"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9" fontId="2" fillId="3" borderId="12" xfId="2" applyFont="1" applyFill="1" applyBorder="1" applyAlignment="1">
      <alignment horizontal="center"/>
    </xf>
    <xf numFmtId="9" fontId="2" fillId="3" borderId="8" xfId="2" applyFont="1" applyFill="1" applyBorder="1" applyAlignment="1">
      <alignment horizontal="center"/>
    </xf>
    <xf numFmtId="44" fontId="2" fillId="3" borderId="2" xfId="0" applyNumberFormat="1" applyFont="1" applyFill="1" applyBorder="1" applyAlignment="1">
      <alignment horizontal="center" vertical="center" wrapText="1"/>
    </xf>
    <xf numFmtId="44" fontId="2" fillId="3" borderId="9" xfId="0" applyNumberFormat="1" applyFont="1" applyFill="1" applyBorder="1" applyAlignment="1">
      <alignment horizontal="center" vertical="center" wrapText="1"/>
    </xf>
    <xf numFmtId="0" fontId="2" fillId="0" borderId="7"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9" fontId="2" fillId="3" borderId="11" xfId="2" applyFont="1" applyFill="1" applyBorder="1" applyAlignment="1">
      <alignment horizontal="center"/>
    </xf>
    <xf numFmtId="10" fontId="3" fillId="3" borderId="1" xfId="0" applyNumberFormat="1" applyFont="1" applyFill="1" applyBorder="1" applyAlignment="1">
      <alignment horizont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9" fontId="2" fillId="3" borderId="2" xfId="2" applyFont="1" applyFill="1" applyBorder="1" applyAlignment="1">
      <alignment horizontal="center"/>
    </xf>
    <xf numFmtId="9" fontId="2" fillId="3" borderId="9" xfId="2" applyFont="1" applyFill="1" applyBorder="1" applyAlignment="1">
      <alignment horizontal="center"/>
    </xf>
    <xf numFmtId="9" fontId="2" fillId="3" borderId="10" xfId="2" applyFont="1" applyFill="1" applyBorder="1" applyAlignment="1">
      <alignment horizontal="center"/>
    </xf>
    <xf numFmtId="9" fontId="2" fillId="3" borderId="12" xfId="0" applyNumberFormat="1" applyFont="1" applyFill="1" applyBorder="1" applyAlignment="1">
      <alignment horizontal="center"/>
    </xf>
    <xf numFmtId="9" fontId="2" fillId="3" borderId="8" xfId="0" applyNumberFormat="1" applyFont="1" applyFill="1" applyBorder="1" applyAlignment="1">
      <alignment horizontal="center"/>
    </xf>
    <xf numFmtId="9" fontId="2" fillId="3" borderId="11" xfId="0" applyNumberFormat="1" applyFont="1" applyFill="1" applyBorder="1" applyAlignment="1">
      <alignment horizont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44" fontId="3" fillId="3" borderId="2" xfId="1" applyFont="1" applyFill="1" applyBorder="1" applyAlignment="1">
      <alignment horizontal="center"/>
    </xf>
    <xf numFmtId="44" fontId="3" fillId="3" borderId="9" xfId="1" applyFont="1" applyFill="1" applyBorder="1" applyAlignment="1">
      <alignment horizontal="center"/>
    </xf>
    <xf numFmtId="44" fontId="3" fillId="3" borderId="10" xfId="1" applyFont="1" applyFill="1" applyBorder="1" applyAlignment="1">
      <alignment horizontal="center"/>
    </xf>
    <xf numFmtId="9" fontId="2" fillId="3" borderId="2" xfId="0" applyNumberFormat="1" applyFont="1" applyFill="1" applyBorder="1" applyAlignment="1">
      <alignment horizontal="center"/>
    </xf>
    <xf numFmtId="9" fontId="2" fillId="3" borderId="9" xfId="0" applyNumberFormat="1" applyFont="1" applyFill="1" applyBorder="1" applyAlignment="1">
      <alignment horizontal="center"/>
    </xf>
    <xf numFmtId="9" fontId="2" fillId="3" borderId="10" xfId="0" applyNumberFormat="1" applyFont="1" applyFill="1" applyBorder="1" applyAlignment="1">
      <alignment horizontal="center"/>
    </xf>
    <xf numFmtId="0" fontId="2" fillId="2" borderId="2"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3" fillId="0" borderId="2" xfId="0" applyFont="1" applyBorder="1" applyAlignment="1">
      <alignment horizontal="left"/>
    </xf>
    <xf numFmtId="0" fontId="3" fillId="0" borderId="9" xfId="0" applyFont="1" applyBorder="1" applyAlignment="1">
      <alignment horizontal="left"/>
    </xf>
    <xf numFmtId="0" fontId="3" fillId="0" borderId="6" xfId="0" applyFont="1" applyBorder="1" applyAlignment="1">
      <alignment horizontal="left"/>
    </xf>
    <xf numFmtId="10" fontId="2" fillId="3" borderId="12" xfId="0" applyNumberFormat="1" applyFont="1" applyFill="1" applyBorder="1" applyAlignment="1">
      <alignment horizontal="center"/>
    </xf>
    <xf numFmtId="10" fontId="2" fillId="3" borderId="8" xfId="0" applyNumberFormat="1" applyFont="1" applyFill="1" applyBorder="1" applyAlignment="1">
      <alignment horizontal="center"/>
    </xf>
    <xf numFmtId="10" fontId="2" fillId="3" borderId="11" xfId="0" applyNumberFormat="1" applyFont="1" applyFill="1" applyBorder="1" applyAlignment="1">
      <alignment horizontal="center"/>
    </xf>
    <xf numFmtId="0" fontId="6" fillId="0" borderId="0" xfId="0" applyFont="1" applyAlignment="1">
      <alignment horizontal="center"/>
    </xf>
    <xf numFmtId="9" fontId="2" fillId="3" borderId="14" xfId="2" applyFont="1" applyFill="1" applyBorder="1" applyAlignment="1">
      <alignment horizontal="center"/>
    </xf>
    <xf numFmtId="9" fontId="2" fillId="3" borderId="6" xfId="2" applyFont="1" applyFill="1" applyBorder="1" applyAlignment="1">
      <alignment horizontal="center"/>
    </xf>
    <xf numFmtId="0" fontId="2" fillId="0" borderId="5" xfId="0" applyFont="1" applyBorder="1" applyAlignment="1">
      <alignment horizontal="center"/>
    </xf>
    <xf numFmtId="0" fontId="21" fillId="4" borderId="12"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center"/>
    </xf>
    <xf numFmtId="0" fontId="2" fillId="0" borderId="8" xfId="0" applyFont="1" applyBorder="1" applyAlignment="1">
      <alignment horizontal="center"/>
    </xf>
    <xf numFmtId="0" fontId="2" fillId="0" borderId="11" xfId="0" applyFont="1" applyBorder="1" applyAlignment="1">
      <alignment horizontal="center"/>
    </xf>
    <xf numFmtId="0" fontId="2" fillId="0" borderId="14"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44" fontId="2" fillId="3" borderId="1" xfId="1" applyFont="1" applyFill="1" applyBorder="1" applyAlignment="1">
      <alignment horizontal="center"/>
    </xf>
    <xf numFmtId="0" fontId="10" fillId="0" borderId="0" xfId="0" applyFont="1" applyAlignment="1">
      <alignment horizontal="center" vertical="center"/>
    </xf>
    <xf numFmtId="0" fontId="2" fillId="0" borderId="1" xfId="0" applyFont="1" applyBorder="1" applyAlignment="1">
      <alignment horizontal="center" vertical="center"/>
    </xf>
    <xf numFmtId="44" fontId="2" fillId="2" borderId="1" xfId="1" applyNumberFormat="1" applyFont="1" applyFill="1" applyBorder="1" applyProtection="1">
      <protection locked="0"/>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L$22" lockText="1"/>
</file>

<file path=xl/ctrlProps/ctrlProp11.xml><?xml version="1.0" encoding="utf-8"?>
<formControlPr xmlns="http://schemas.microsoft.com/office/spreadsheetml/2009/9/main" objectType="CheckBox" fmlaLink="$AL$58" lockText="1"/>
</file>

<file path=xl/ctrlProps/ctrlProp12.xml><?xml version="1.0" encoding="utf-8"?>
<formControlPr xmlns="http://schemas.microsoft.com/office/spreadsheetml/2009/9/main" objectType="CheckBox" fmlaLink="$AM$58" lockText="1"/>
</file>

<file path=xl/ctrlProps/ctrlProp2.xml><?xml version="1.0" encoding="utf-8"?>
<formControlPr xmlns="http://schemas.microsoft.com/office/spreadsheetml/2009/9/main" objectType="Radio" checked="Checked" firstButton="1" fmlaLink="$AL$18"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AL$19"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CheckBox" fmlaLink="$AK$2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14</xdr:col>
          <xdr:colOff>0</xdr:colOff>
          <xdr:row>18</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0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50800</xdr:rowOff>
        </xdr:from>
        <xdr:to>
          <xdr:col>3</xdr:col>
          <xdr:colOff>95250</xdr:colOff>
          <xdr:row>17</xdr:row>
          <xdr:rowOff>266700</xdr:rowOff>
        </xdr:to>
        <xdr:sp macro="" textlink="">
          <xdr:nvSpPr>
            <xdr:cNvPr id="43010" name="Option Button 2" hidden="1">
              <a:extLst>
                <a:ext uri="{63B3BB69-23CF-44E3-9099-C40C66FF867C}">
                  <a14:compatExt spid="_x0000_s43010"/>
                </a:ext>
                <a:ext uri="{FF2B5EF4-FFF2-40B4-BE49-F238E27FC236}">
                  <a16:creationId xmlns:a16="http://schemas.microsoft.com/office/drawing/2014/main" id="{00000000-0008-0000-00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260350</xdr:rowOff>
        </xdr:from>
        <xdr:to>
          <xdr:col>12</xdr:col>
          <xdr:colOff>165100</xdr:colOff>
          <xdr:row>17</xdr:row>
          <xdr:rowOff>476250</xdr:rowOff>
        </xdr:to>
        <xdr:sp macro="" textlink="">
          <xdr:nvSpPr>
            <xdr:cNvPr id="43011" name="Option Button 3" hidden="1">
              <a:extLst>
                <a:ext uri="{63B3BB69-23CF-44E3-9099-C40C66FF867C}">
                  <a14:compatExt spid="_x0000_s43011"/>
                </a:ext>
                <a:ext uri="{FF2B5EF4-FFF2-40B4-BE49-F238E27FC236}">
                  <a16:creationId xmlns:a16="http://schemas.microsoft.com/office/drawing/2014/main" id="{00000000-0008-0000-00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Lens removed;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476250</xdr:rowOff>
        </xdr:from>
        <xdr:to>
          <xdr:col>13</xdr:col>
          <xdr:colOff>0</xdr:colOff>
          <xdr:row>17</xdr:row>
          <xdr:rowOff>698500</xdr:rowOff>
        </xdr:to>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00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Lens removed; no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12700</xdr:rowOff>
        </xdr:from>
        <xdr:to>
          <xdr:col>30</xdr:col>
          <xdr:colOff>190500</xdr:colOff>
          <xdr:row>18</xdr:row>
          <xdr:rowOff>0</xdr:rowOff>
        </xdr:to>
        <xdr:sp macro="" textlink="">
          <xdr:nvSpPr>
            <xdr:cNvPr id="43013" name="Group Box 5" hidden="1">
              <a:extLst>
                <a:ext uri="{63B3BB69-23CF-44E3-9099-C40C66FF867C}">
                  <a14:compatExt spid="_x0000_s43013"/>
                </a:ext>
                <a:ext uri="{FF2B5EF4-FFF2-40B4-BE49-F238E27FC236}">
                  <a16:creationId xmlns:a16="http://schemas.microsoft.com/office/drawing/2014/main" id="{00000000-0008-0000-0000-000005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50800</xdr:rowOff>
        </xdr:from>
        <xdr:to>
          <xdr:col>28</xdr:col>
          <xdr:colOff>165100</xdr:colOff>
          <xdr:row>17</xdr:row>
          <xdr:rowOff>266700</xdr:rowOff>
        </xdr:to>
        <xdr:sp macro="" textlink="">
          <xdr:nvSpPr>
            <xdr:cNvPr id="43014" name="Option Button 6" hidden="1">
              <a:extLst>
                <a:ext uri="{63B3BB69-23CF-44E3-9099-C40C66FF867C}">
                  <a14:compatExt spid="_x0000_s43014"/>
                </a:ext>
                <a:ext uri="{FF2B5EF4-FFF2-40B4-BE49-F238E27FC236}">
                  <a16:creationId xmlns:a16="http://schemas.microsoft.com/office/drawing/2014/main" id="{00000000-0008-0000-00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247650</xdr:rowOff>
        </xdr:from>
        <xdr:to>
          <xdr:col>28</xdr:col>
          <xdr:colOff>165100</xdr:colOff>
          <xdr:row>17</xdr:row>
          <xdr:rowOff>469900</xdr:rowOff>
        </xdr:to>
        <xdr:sp macro="" textlink="">
          <xdr:nvSpPr>
            <xdr:cNvPr id="43015" name="Option Button 7" hidden="1">
              <a:extLst>
                <a:ext uri="{63B3BB69-23CF-44E3-9099-C40C66FF867C}">
                  <a14:compatExt spid="_x0000_s43015"/>
                </a:ext>
                <a:ext uri="{FF2B5EF4-FFF2-40B4-BE49-F238E27FC236}">
                  <a16:creationId xmlns:a16="http://schemas.microsoft.com/office/drawing/2014/main" id="{00000000-0008-0000-00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Lens removed;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476250</xdr:rowOff>
        </xdr:from>
        <xdr:to>
          <xdr:col>29</xdr:col>
          <xdr:colOff>76200</xdr:colOff>
          <xdr:row>17</xdr:row>
          <xdr:rowOff>698500</xdr:rowOff>
        </xdr:to>
        <xdr:sp macro="" textlink="">
          <xdr:nvSpPr>
            <xdr:cNvPr id="43016" name="Option Button 8" hidden="1">
              <a:extLst>
                <a:ext uri="{63B3BB69-23CF-44E3-9099-C40C66FF867C}">
                  <a14:compatExt spid="_x0000_s43016"/>
                </a:ext>
                <a:ext uri="{FF2B5EF4-FFF2-40B4-BE49-F238E27FC236}">
                  <a16:creationId xmlns:a16="http://schemas.microsoft.com/office/drawing/2014/main" id="{00000000-0008-0000-00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Lens removed; no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50800</xdr:rowOff>
        </xdr:from>
        <xdr:to>
          <xdr:col>2</xdr:col>
          <xdr:colOff>152400</xdr:colOff>
          <xdr:row>21</xdr:row>
          <xdr:rowOff>266700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0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21</xdr:row>
          <xdr:rowOff>57150</xdr:rowOff>
        </xdr:from>
        <xdr:to>
          <xdr:col>20</xdr:col>
          <xdr:colOff>0</xdr:colOff>
          <xdr:row>21</xdr:row>
          <xdr:rowOff>279400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0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57</xdr:row>
          <xdr:rowOff>12700</xdr:rowOff>
        </xdr:from>
        <xdr:to>
          <xdr:col>13</xdr:col>
          <xdr:colOff>107950</xdr:colOff>
          <xdr:row>58</xdr:row>
          <xdr:rowOff>0</xdr:rowOff>
        </xdr:to>
        <xdr:sp macro="" textlink="">
          <xdr:nvSpPr>
            <xdr:cNvPr id="43100" name="Check Box 92" hidden="1">
              <a:extLst>
                <a:ext uri="{63B3BB69-23CF-44E3-9099-C40C66FF867C}">
                  <a14:compatExt spid="_x0000_s43100"/>
                </a:ext>
                <a:ext uri="{FF2B5EF4-FFF2-40B4-BE49-F238E27FC236}">
                  <a16:creationId xmlns:a16="http://schemas.microsoft.com/office/drawing/2014/main" id="{00000000-0008-0000-0000-00005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57</xdr:row>
          <xdr:rowOff>12700</xdr:rowOff>
        </xdr:from>
        <xdr:to>
          <xdr:col>30</xdr:col>
          <xdr:colOff>107950</xdr:colOff>
          <xdr:row>58</xdr:row>
          <xdr:rowOff>0</xdr:rowOff>
        </xdr:to>
        <xdr:sp macro="" textlink="">
          <xdr:nvSpPr>
            <xdr:cNvPr id="43101" name="Check Box 93" hidden="1">
              <a:extLst>
                <a:ext uri="{63B3BB69-23CF-44E3-9099-C40C66FF867C}">
                  <a14:compatExt spid="_x0000_s43101"/>
                </a:ext>
                <a:ext uri="{FF2B5EF4-FFF2-40B4-BE49-F238E27FC236}">
                  <a16:creationId xmlns:a16="http://schemas.microsoft.com/office/drawing/2014/main" id="{00000000-0008-0000-0000-00005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142"/>
  <sheetViews>
    <sheetView showGridLines="0" tabSelected="1" zoomScale="120" zoomScaleNormal="120" workbookViewId="0"/>
  </sheetViews>
  <sheetFormatPr defaultColWidth="1.54296875" defaultRowHeight="13" x14ac:dyDescent="0.3"/>
  <cols>
    <col min="1" max="1" width="0.81640625" style="1" customWidth="1"/>
    <col min="2" max="7" width="2.7265625" style="1" customWidth="1"/>
    <col min="8" max="8" width="3.81640625" style="1" customWidth="1"/>
    <col min="9" max="14" width="2.7265625" style="1" customWidth="1"/>
    <col min="15" max="15" width="3.1796875" style="1" customWidth="1"/>
    <col min="16" max="16" width="2.7265625" style="1" customWidth="1"/>
    <col min="17" max="17" width="3.1796875" style="1" customWidth="1"/>
    <col min="18" max="18" width="1.453125" style="1" customWidth="1"/>
    <col min="19" max="23" width="2.7265625" style="1" customWidth="1"/>
    <col min="24" max="24" width="4.453125" style="1" customWidth="1"/>
    <col min="25" max="25" width="3.54296875" style="1" customWidth="1"/>
    <col min="26" max="26" width="4" style="1" customWidth="1"/>
    <col min="27" max="28" width="2.7265625" style="1" customWidth="1"/>
    <col min="29" max="29" width="2.54296875" style="1" customWidth="1"/>
    <col min="30" max="30" width="2.7265625" style="1" customWidth="1"/>
    <col min="31" max="31" width="3" style="1" customWidth="1"/>
    <col min="32" max="32" width="3.26953125" style="1" customWidth="1"/>
    <col min="33" max="33" width="2.7265625" style="1" customWidth="1"/>
    <col min="34" max="34" width="2.26953125" style="1" customWidth="1"/>
    <col min="35" max="35" width="0.453125" style="1" customWidth="1"/>
    <col min="36" max="36" width="2.7265625" style="1" hidden="1" customWidth="1"/>
    <col min="37" max="37" width="7.54296875" style="1" hidden="1" customWidth="1"/>
    <col min="38" max="38" width="11.81640625" style="1" hidden="1" customWidth="1"/>
    <col min="39" max="39" width="12.81640625" style="1" hidden="1" customWidth="1"/>
    <col min="40" max="40" width="14.26953125" style="1" hidden="1" customWidth="1"/>
    <col min="41" max="41" width="10.453125" style="1" hidden="1" customWidth="1"/>
    <col min="42" max="42" width="13.7265625" style="1" hidden="1" customWidth="1"/>
    <col min="43" max="43" width="8.81640625" style="1" hidden="1" customWidth="1"/>
    <col min="44" max="44" width="9.54296875" style="1" hidden="1" customWidth="1"/>
    <col min="45" max="45" width="9" style="1" hidden="1" customWidth="1"/>
    <col min="46" max="46" width="8.81640625" style="1" hidden="1" customWidth="1"/>
    <col min="47" max="47" width="9.26953125" style="1" hidden="1" customWidth="1"/>
    <col min="48" max="48" width="9.453125" style="1" hidden="1" customWidth="1"/>
    <col min="49" max="49" width="8.453125" style="1" hidden="1" customWidth="1"/>
    <col min="50" max="78" width="7.26953125" style="1" hidden="1" customWidth="1"/>
    <col min="79" max="130" width="2.7265625" style="1" hidden="1" customWidth="1"/>
    <col min="131" max="179" width="2.7265625" style="1" customWidth="1"/>
    <col min="180" max="255" width="9.1796875" style="1" customWidth="1"/>
    <col min="256" max="16384" width="1.54296875" style="1"/>
  </cols>
  <sheetData>
    <row r="1" spans="2:193" ht="17.25" customHeight="1" x14ac:dyDescent="0.3">
      <c r="B1" s="309" t="s">
        <v>235</v>
      </c>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row>
    <row r="2" spans="2:193" ht="18" customHeight="1" x14ac:dyDescent="0.3">
      <c r="B2" s="10" t="s">
        <v>159</v>
      </c>
      <c r="J2" s="294"/>
      <c r="K2" s="295"/>
      <c r="L2" s="295"/>
      <c r="M2" s="295"/>
      <c r="N2" s="295"/>
      <c r="O2" s="295"/>
      <c r="P2" s="295"/>
      <c r="Q2" s="295"/>
      <c r="R2" s="295"/>
      <c r="S2" s="295"/>
      <c r="T2" s="296"/>
      <c r="U2" s="8"/>
      <c r="V2" s="294"/>
      <c r="W2" s="295"/>
      <c r="X2" s="295"/>
      <c r="Y2" s="295"/>
      <c r="Z2" s="295"/>
      <c r="AA2" s="295"/>
      <c r="AB2" s="295"/>
      <c r="AC2" s="295"/>
      <c r="AD2" s="295"/>
      <c r="AE2" s="295"/>
      <c r="AF2" s="295"/>
      <c r="AG2" s="295"/>
      <c r="AH2" s="296"/>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row>
    <row r="3" spans="2:193" ht="18" customHeight="1" x14ac:dyDescent="0.3">
      <c r="B3" s="33" t="s">
        <v>215</v>
      </c>
      <c r="C3" s="33"/>
      <c r="D3" s="33"/>
      <c r="E3" s="33"/>
      <c r="F3" s="33"/>
      <c r="G3" s="33"/>
      <c r="H3" s="33"/>
      <c r="J3" s="134"/>
      <c r="K3" s="135"/>
      <c r="L3" s="135"/>
      <c r="M3" s="135"/>
      <c r="N3" s="135"/>
      <c r="O3" s="135"/>
      <c r="P3" s="135"/>
      <c r="Q3" s="135"/>
      <c r="R3" s="135"/>
      <c r="S3" s="135"/>
      <c r="T3" s="136"/>
      <c r="U3" s="20"/>
      <c r="V3" s="303" t="s">
        <v>73</v>
      </c>
      <c r="W3" s="303"/>
      <c r="X3" s="303"/>
      <c r="Y3" s="303"/>
      <c r="Z3" s="303"/>
      <c r="AA3" s="303"/>
      <c r="AB3" s="303"/>
      <c r="AC3" s="303"/>
      <c r="AD3" s="303"/>
      <c r="AE3" s="303"/>
      <c r="AF3" s="303"/>
      <c r="AG3" s="303"/>
      <c r="AH3" s="303"/>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row>
    <row r="4" spans="2:193" ht="7.5" customHeight="1" x14ac:dyDescent="0.3">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row>
    <row r="5" spans="2:193" ht="18" customHeight="1" x14ac:dyDescent="0.3">
      <c r="B5" s="233" t="s">
        <v>79</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8"/>
      <c r="AJ5" s="8"/>
      <c r="AK5" s="8"/>
      <c r="AL5" s="82">
        <v>38353</v>
      </c>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row>
    <row r="6" spans="2:193" ht="18" customHeight="1" x14ac:dyDescent="0.3">
      <c r="B6" s="234" t="s">
        <v>80</v>
      </c>
      <c r="C6" s="235"/>
      <c r="D6" s="235"/>
      <c r="E6" s="235"/>
      <c r="F6" s="235"/>
      <c r="G6" s="235"/>
      <c r="H6" s="235"/>
      <c r="I6" s="235"/>
      <c r="J6" s="235"/>
      <c r="K6" s="235"/>
      <c r="L6" s="235"/>
      <c r="M6" s="235"/>
      <c r="N6" s="235"/>
      <c r="O6" s="235"/>
      <c r="P6" s="235"/>
      <c r="Q6" s="236"/>
      <c r="R6" s="212"/>
      <c r="S6" s="211" t="s">
        <v>81</v>
      </c>
      <c r="T6" s="211"/>
      <c r="U6" s="211"/>
      <c r="V6" s="211"/>
      <c r="W6" s="211"/>
      <c r="X6" s="211"/>
      <c r="Y6" s="211"/>
      <c r="Z6" s="211"/>
      <c r="AA6" s="211"/>
      <c r="AB6" s="211"/>
      <c r="AC6" s="211"/>
      <c r="AD6" s="211"/>
      <c r="AE6" s="211"/>
      <c r="AF6" s="211"/>
      <c r="AG6" s="211"/>
      <c r="AH6" s="211"/>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row>
    <row r="7" spans="2:193" ht="27" customHeight="1" x14ac:dyDescent="0.3">
      <c r="B7" s="237" t="s">
        <v>82</v>
      </c>
      <c r="C7" s="237"/>
      <c r="D7" s="237"/>
      <c r="E7" s="237"/>
      <c r="F7" s="237"/>
      <c r="G7" s="238" t="s">
        <v>83</v>
      </c>
      <c r="H7" s="239"/>
      <c r="I7" s="239"/>
      <c r="J7" s="239"/>
      <c r="K7" s="239"/>
      <c r="L7" s="239"/>
      <c r="M7" s="239"/>
      <c r="N7" s="239"/>
      <c r="O7" s="102"/>
      <c r="P7" s="103"/>
      <c r="Q7" s="104"/>
      <c r="R7" s="213"/>
      <c r="S7" s="237" t="s">
        <v>82</v>
      </c>
      <c r="T7" s="237"/>
      <c r="U7" s="237"/>
      <c r="V7" s="237"/>
      <c r="W7" s="237"/>
      <c r="X7" s="238" t="s">
        <v>83</v>
      </c>
      <c r="Y7" s="239"/>
      <c r="Z7" s="239"/>
      <c r="AA7" s="239"/>
      <c r="AB7" s="239"/>
      <c r="AC7" s="239"/>
      <c r="AD7" s="239"/>
      <c r="AE7" s="239"/>
      <c r="AF7" s="102"/>
      <c r="AG7" s="103"/>
      <c r="AH7" s="104"/>
      <c r="AI7" s="8"/>
      <c r="AJ7" s="8"/>
      <c r="AK7" s="8"/>
      <c r="AL7" s="8"/>
      <c r="AM7" s="8"/>
      <c r="AN7" s="13" t="s">
        <v>85</v>
      </c>
      <c r="AO7" s="13" t="s">
        <v>86</v>
      </c>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row>
    <row r="8" spans="2:193" ht="18" customHeight="1" x14ac:dyDescent="0.3">
      <c r="B8" s="237" t="s">
        <v>42</v>
      </c>
      <c r="C8" s="237"/>
      <c r="D8" s="237"/>
      <c r="E8" s="237"/>
      <c r="F8" s="237"/>
      <c r="G8" s="207"/>
      <c r="H8" s="207"/>
      <c r="I8" s="207"/>
      <c r="J8" s="207"/>
      <c r="K8" s="207"/>
      <c r="L8" s="207"/>
      <c r="M8" s="207"/>
      <c r="N8" s="207"/>
      <c r="O8" s="105"/>
      <c r="P8" s="106"/>
      <c r="Q8" s="107"/>
      <c r="R8" s="213"/>
      <c r="S8" s="237" t="s">
        <v>42</v>
      </c>
      <c r="T8" s="237"/>
      <c r="U8" s="237"/>
      <c r="V8" s="237"/>
      <c r="W8" s="237"/>
      <c r="X8" s="207"/>
      <c r="Y8" s="207"/>
      <c r="Z8" s="207"/>
      <c r="AA8" s="207"/>
      <c r="AB8" s="207"/>
      <c r="AC8" s="207"/>
      <c r="AD8" s="207"/>
      <c r="AE8" s="207"/>
      <c r="AF8" s="105"/>
      <c r="AG8" s="106"/>
      <c r="AH8" s="107"/>
      <c r="AI8" s="8"/>
      <c r="AJ8" s="8"/>
      <c r="AK8" s="8"/>
      <c r="AN8" s="13">
        <f>SUMIF(C108:S108,G8,C109:S109)</f>
        <v>0</v>
      </c>
      <c r="AO8" s="13">
        <f>SUMIF(C108:S108,X8,C109:S109)</f>
        <v>0</v>
      </c>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row>
    <row r="9" spans="2:193" ht="18" customHeight="1" x14ac:dyDescent="0.3">
      <c r="B9" s="137" t="s">
        <v>87</v>
      </c>
      <c r="C9" s="137"/>
      <c r="D9" s="137"/>
      <c r="E9" s="137"/>
      <c r="F9" s="137"/>
      <c r="G9" s="207"/>
      <c r="H9" s="207"/>
      <c r="I9" s="207"/>
      <c r="J9" s="207"/>
      <c r="K9" s="207"/>
      <c r="L9" s="207"/>
      <c r="M9" s="207"/>
      <c r="N9" s="207"/>
      <c r="O9" s="220">
        <f>IF(B10&lt;&gt;"","ERROR",AN10/100)</f>
        <v>0</v>
      </c>
      <c r="P9" s="221"/>
      <c r="Q9" s="222"/>
      <c r="R9" s="213"/>
      <c r="S9" s="137" t="s">
        <v>87</v>
      </c>
      <c r="T9" s="137"/>
      <c r="U9" s="137"/>
      <c r="V9" s="137"/>
      <c r="W9" s="137"/>
      <c r="X9" s="207"/>
      <c r="Y9" s="207"/>
      <c r="Z9" s="207"/>
      <c r="AA9" s="207"/>
      <c r="AB9" s="207"/>
      <c r="AC9" s="207"/>
      <c r="AD9" s="207"/>
      <c r="AE9" s="207"/>
      <c r="AF9" s="220">
        <f>IF(S10&lt;&gt;"","ERROR",AO10/100)</f>
        <v>0</v>
      </c>
      <c r="AG9" s="221"/>
      <c r="AH9" s="222"/>
      <c r="AI9" s="8"/>
      <c r="AJ9" s="8"/>
      <c r="AK9" s="8"/>
      <c r="AN9" s="13">
        <f>SUMIF(C110:S110,G9,C111:S111)</f>
        <v>0</v>
      </c>
      <c r="AO9" s="13">
        <f>SUMIF(C110:S110,X9,C111:S111)</f>
        <v>0</v>
      </c>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row>
    <row r="10" spans="2:193" ht="18" customHeight="1" x14ac:dyDescent="0.3">
      <c r="B10" s="225" t="str">
        <f>IF(AND(G8&lt;&gt;"",G9&lt;&gt;""),"ERROR: Enter English or Metric, not both.","")</f>
        <v/>
      </c>
      <c r="C10" s="225"/>
      <c r="D10" s="225"/>
      <c r="E10" s="225"/>
      <c r="F10" s="225"/>
      <c r="G10" s="225"/>
      <c r="H10" s="225"/>
      <c r="I10" s="225"/>
      <c r="J10" s="225"/>
      <c r="K10" s="225"/>
      <c r="L10" s="225"/>
      <c r="M10" s="225"/>
      <c r="N10" s="225"/>
      <c r="O10" s="316"/>
      <c r="P10" s="317"/>
      <c r="Q10" s="318"/>
      <c r="R10" s="213"/>
      <c r="S10" s="225" t="str">
        <f>IF(AND(X8&lt;&gt;"",X9&lt;&gt;""),"ERROR: Enter English or Metric, not both.","")</f>
        <v/>
      </c>
      <c r="T10" s="225"/>
      <c r="U10" s="225"/>
      <c r="V10" s="225"/>
      <c r="W10" s="225"/>
      <c r="X10" s="225"/>
      <c r="Y10" s="225"/>
      <c r="Z10" s="225"/>
      <c r="AA10" s="225"/>
      <c r="AB10" s="225"/>
      <c r="AC10" s="225"/>
      <c r="AD10" s="225"/>
      <c r="AE10" s="225"/>
      <c r="AF10" s="316"/>
      <c r="AG10" s="317"/>
      <c r="AH10" s="318"/>
      <c r="AI10" s="8"/>
      <c r="AJ10" s="8"/>
      <c r="AK10" s="8"/>
      <c r="AN10" s="13">
        <f>AN8+AN9</f>
        <v>0</v>
      </c>
      <c r="AO10" s="13">
        <f>AO8+AO9</f>
        <v>0</v>
      </c>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row>
    <row r="11" spans="2:193" ht="18" customHeight="1" x14ac:dyDescent="0.3">
      <c r="B11" s="137" t="s">
        <v>88</v>
      </c>
      <c r="C11" s="137"/>
      <c r="D11" s="137"/>
      <c r="E11" s="137"/>
      <c r="F11" s="137"/>
      <c r="G11" s="204" t="s">
        <v>89</v>
      </c>
      <c r="H11" s="204"/>
      <c r="I11" s="204"/>
      <c r="J11" s="204"/>
      <c r="K11" s="204"/>
      <c r="L11" s="204"/>
      <c r="M11" s="204"/>
      <c r="N11" s="205"/>
      <c r="O11" s="306"/>
      <c r="P11" s="188"/>
      <c r="Q11" s="266"/>
      <c r="R11" s="213"/>
      <c r="S11" s="137" t="s">
        <v>88</v>
      </c>
      <c r="T11" s="137"/>
      <c r="U11" s="137"/>
      <c r="V11" s="137"/>
      <c r="W11" s="137"/>
      <c r="X11" s="204" t="s">
        <v>89</v>
      </c>
      <c r="Y11" s="204"/>
      <c r="Z11" s="204"/>
      <c r="AA11" s="204"/>
      <c r="AB11" s="204"/>
      <c r="AC11" s="204"/>
      <c r="AD11" s="204"/>
      <c r="AE11" s="205"/>
      <c r="AF11" s="306"/>
      <c r="AG11" s="188"/>
      <c r="AH11" s="266"/>
      <c r="AI11" s="8"/>
      <c r="AJ11" s="8"/>
      <c r="AK11" s="8"/>
      <c r="AN11" s="13" t="s">
        <v>233</v>
      </c>
      <c r="AO11" s="13" t="s">
        <v>234</v>
      </c>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row>
    <row r="12" spans="2:193" ht="18" customHeight="1" x14ac:dyDescent="0.3">
      <c r="B12" s="137" t="s">
        <v>90</v>
      </c>
      <c r="C12" s="137"/>
      <c r="D12" s="137"/>
      <c r="E12" s="137"/>
      <c r="F12" s="137"/>
      <c r="G12" s="137"/>
      <c r="H12" s="137"/>
      <c r="I12" s="137"/>
      <c r="J12" s="203"/>
      <c r="K12" s="203"/>
      <c r="L12" s="203"/>
      <c r="M12" s="203"/>
      <c r="N12" s="203"/>
      <c r="O12" s="306"/>
      <c r="P12" s="188"/>
      <c r="Q12" s="266"/>
      <c r="R12" s="213"/>
      <c r="S12" s="137" t="s">
        <v>90</v>
      </c>
      <c r="T12" s="137"/>
      <c r="U12" s="137"/>
      <c r="V12" s="137"/>
      <c r="W12" s="137"/>
      <c r="X12" s="137"/>
      <c r="Y12" s="137"/>
      <c r="Z12" s="137"/>
      <c r="AA12" s="203"/>
      <c r="AB12" s="203"/>
      <c r="AC12" s="203"/>
      <c r="AD12" s="203"/>
      <c r="AE12" s="203"/>
      <c r="AF12" s="306"/>
      <c r="AG12" s="188"/>
      <c r="AH12" s="266"/>
      <c r="AI12" s="8"/>
      <c r="AJ12" s="8"/>
      <c r="AK12" s="8"/>
      <c r="AL12" s="13">
        <f>IF(J12="",0,1)</f>
        <v>0</v>
      </c>
      <c r="AM12" s="13">
        <f>IF(AA12="",0,1)</f>
        <v>0</v>
      </c>
      <c r="AN12" s="13">
        <f>SUMIF(C112:P112,J12,C113:P113)</f>
        <v>0</v>
      </c>
      <c r="AO12" s="13">
        <f>SUMIF(C112:P112,AA12,C113:P113)</f>
        <v>0</v>
      </c>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row>
    <row r="13" spans="2:193" ht="18" customHeight="1" x14ac:dyDescent="0.3">
      <c r="B13" s="137" t="s">
        <v>91</v>
      </c>
      <c r="C13" s="137"/>
      <c r="D13" s="137"/>
      <c r="E13" s="137"/>
      <c r="F13" s="137"/>
      <c r="G13" s="137"/>
      <c r="H13" s="137"/>
      <c r="I13" s="137"/>
      <c r="J13" s="203"/>
      <c r="K13" s="203"/>
      <c r="L13" s="203"/>
      <c r="M13" s="203"/>
      <c r="N13" s="203"/>
      <c r="O13" s="319"/>
      <c r="P13" s="320"/>
      <c r="Q13" s="321"/>
      <c r="R13" s="213"/>
      <c r="S13" s="137" t="s">
        <v>91</v>
      </c>
      <c r="T13" s="137"/>
      <c r="U13" s="137"/>
      <c r="V13" s="137"/>
      <c r="W13" s="137"/>
      <c r="X13" s="137"/>
      <c r="Y13" s="137"/>
      <c r="Z13" s="137"/>
      <c r="AA13" s="203"/>
      <c r="AB13" s="203"/>
      <c r="AC13" s="203"/>
      <c r="AD13" s="203"/>
      <c r="AE13" s="203"/>
      <c r="AF13" s="319"/>
      <c r="AG13" s="320"/>
      <c r="AH13" s="321"/>
      <c r="AI13" s="8"/>
      <c r="AJ13" s="8"/>
      <c r="AK13" s="8"/>
      <c r="AL13" s="13">
        <f>IF(J13="",0,1)</f>
        <v>0</v>
      </c>
      <c r="AM13" s="13">
        <f>IF(AA13="",0,1)</f>
        <v>0</v>
      </c>
      <c r="AN13" s="13">
        <f>SUMIF(C114:P114,J13,C115:P115)</f>
        <v>0</v>
      </c>
      <c r="AO13" s="13">
        <f>SUMIF(C114:P114,AA13,C115:P115)</f>
        <v>0</v>
      </c>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row>
    <row r="14" spans="2:193" ht="18" customHeight="1" x14ac:dyDescent="0.3">
      <c r="B14" s="137" t="s">
        <v>92</v>
      </c>
      <c r="C14" s="137"/>
      <c r="D14" s="137"/>
      <c r="E14" s="137"/>
      <c r="F14" s="137"/>
      <c r="G14" s="137"/>
      <c r="H14" s="137"/>
      <c r="I14" s="137"/>
      <c r="J14" s="203"/>
      <c r="K14" s="203"/>
      <c r="L14" s="203"/>
      <c r="M14" s="203"/>
      <c r="N14" s="203"/>
      <c r="O14" s="220">
        <f>IF(B15&lt;&gt;"","ERROR",AN15/100)</f>
        <v>0</v>
      </c>
      <c r="P14" s="221"/>
      <c r="Q14" s="222"/>
      <c r="R14" s="213"/>
      <c r="S14" s="137" t="s">
        <v>92</v>
      </c>
      <c r="T14" s="137"/>
      <c r="U14" s="137"/>
      <c r="V14" s="137"/>
      <c r="W14" s="137"/>
      <c r="X14" s="137"/>
      <c r="Y14" s="137"/>
      <c r="Z14" s="137"/>
      <c r="AA14" s="203"/>
      <c r="AB14" s="203"/>
      <c r="AC14" s="203"/>
      <c r="AD14" s="203"/>
      <c r="AE14" s="203"/>
      <c r="AF14" s="220">
        <f>IF(S15&lt;&gt;"","ERROR",AO15/100)</f>
        <v>0</v>
      </c>
      <c r="AG14" s="221"/>
      <c r="AH14" s="222"/>
      <c r="AI14" s="8"/>
      <c r="AJ14" s="8"/>
      <c r="AK14" s="8"/>
      <c r="AL14" s="13">
        <f>IF(J14="",0,1)</f>
        <v>0</v>
      </c>
      <c r="AM14" s="13">
        <f>IF(AA14="",0,1)</f>
        <v>0</v>
      </c>
      <c r="AN14" s="13">
        <f>SUMIF(C116:P116,J14,C117:P117)</f>
        <v>0</v>
      </c>
      <c r="AO14" s="13">
        <f>SUMIF(C116:P116,AA14,C117:P117)</f>
        <v>0</v>
      </c>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row>
    <row r="15" spans="2:193" ht="18" customHeight="1" x14ac:dyDescent="0.3">
      <c r="B15" s="225" t="str">
        <f>IF(AL15&gt;1,"ERROR: Enter one near acuity measure only.","")</f>
        <v/>
      </c>
      <c r="C15" s="225"/>
      <c r="D15" s="225"/>
      <c r="E15" s="225"/>
      <c r="F15" s="225"/>
      <c r="G15" s="225"/>
      <c r="H15" s="225"/>
      <c r="I15" s="225"/>
      <c r="J15" s="225"/>
      <c r="K15" s="225"/>
      <c r="L15" s="225"/>
      <c r="M15" s="225"/>
      <c r="N15" s="225"/>
      <c r="O15" s="205"/>
      <c r="P15" s="205"/>
      <c r="Q15" s="205"/>
      <c r="R15" s="213"/>
      <c r="S15" s="225" t="str">
        <f>IF(AM15&gt;1,"ERROR: Enter one near acuity measure only.","")</f>
        <v/>
      </c>
      <c r="T15" s="225"/>
      <c r="U15" s="225"/>
      <c r="V15" s="225"/>
      <c r="W15" s="225"/>
      <c r="X15" s="225"/>
      <c r="Y15" s="225"/>
      <c r="Z15" s="225"/>
      <c r="AA15" s="225"/>
      <c r="AB15" s="225"/>
      <c r="AC15" s="225"/>
      <c r="AD15" s="225"/>
      <c r="AE15" s="225"/>
      <c r="AF15" s="205"/>
      <c r="AG15" s="205"/>
      <c r="AH15" s="205"/>
      <c r="AI15" s="8"/>
      <c r="AJ15" s="8"/>
      <c r="AK15" s="8"/>
      <c r="AL15" s="13">
        <f>SUM(AL12:AL14)</f>
        <v>0</v>
      </c>
      <c r="AM15" s="13">
        <f>SUM(AM12:AM14)</f>
        <v>0</v>
      </c>
      <c r="AN15" s="13">
        <f>SUM(AN12:AN14)</f>
        <v>0</v>
      </c>
      <c r="AO15" s="13">
        <f>SUM(AO12:AO14)</f>
        <v>0</v>
      </c>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row>
    <row r="16" spans="2:193" ht="15" customHeight="1" x14ac:dyDescent="0.3">
      <c r="B16" s="128" t="s">
        <v>93</v>
      </c>
      <c r="C16" s="128"/>
      <c r="D16" s="128"/>
      <c r="E16" s="128"/>
      <c r="F16" s="128"/>
      <c r="G16" s="128"/>
      <c r="H16" s="128"/>
      <c r="I16" s="128"/>
      <c r="J16" s="128"/>
      <c r="K16" s="128"/>
      <c r="L16" s="128"/>
      <c r="M16" s="128"/>
      <c r="N16" s="128"/>
      <c r="O16" s="242">
        <f>(O9+O14)/2</f>
        <v>0</v>
      </c>
      <c r="P16" s="242"/>
      <c r="Q16" s="242"/>
      <c r="R16" s="213"/>
      <c r="S16" s="128" t="s">
        <v>93</v>
      </c>
      <c r="T16" s="128"/>
      <c r="U16" s="128"/>
      <c r="V16" s="128"/>
      <c r="W16" s="128"/>
      <c r="X16" s="128"/>
      <c r="Y16" s="128"/>
      <c r="Z16" s="128"/>
      <c r="AA16" s="128"/>
      <c r="AB16" s="128"/>
      <c r="AC16" s="128"/>
      <c r="AD16" s="128"/>
      <c r="AE16" s="128"/>
      <c r="AF16" s="242">
        <f>(AF9+AF14)/2</f>
        <v>0</v>
      </c>
      <c r="AG16" s="242"/>
      <c r="AH16" s="242"/>
      <c r="AI16" s="8"/>
      <c r="AJ16" s="8"/>
      <c r="AK16" s="8"/>
      <c r="AL16" s="8"/>
      <c r="AM16" s="13" t="s">
        <v>19</v>
      </c>
      <c r="AN16" s="8" t="s">
        <v>189</v>
      </c>
      <c r="AO16" s="13" t="s">
        <v>20</v>
      </c>
      <c r="AP16" s="13" t="s">
        <v>21</v>
      </c>
      <c r="AQ16" s="13" t="s">
        <v>190</v>
      </c>
      <c r="AR16" s="13" t="s">
        <v>22</v>
      </c>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row>
    <row r="17" spans="1:214" ht="15" customHeight="1" x14ac:dyDescent="0.3">
      <c r="B17" s="128" t="s">
        <v>23</v>
      </c>
      <c r="C17" s="128"/>
      <c r="D17" s="128"/>
      <c r="E17" s="128"/>
      <c r="F17" s="128"/>
      <c r="G17" s="128"/>
      <c r="H17" s="128"/>
      <c r="I17" s="128"/>
      <c r="J17" s="128"/>
      <c r="K17" s="128"/>
      <c r="L17" s="128"/>
      <c r="M17" s="128"/>
      <c r="N17" s="128"/>
      <c r="O17" s="214">
        <f>IF(AL18=2,0.25,IF(AL18=3,0.5,0))</f>
        <v>0</v>
      </c>
      <c r="P17" s="215"/>
      <c r="Q17" s="216"/>
      <c r="R17" s="213"/>
      <c r="S17" s="128" t="s">
        <v>23</v>
      </c>
      <c r="T17" s="128"/>
      <c r="U17" s="128"/>
      <c r="V17" s="128"/>
      <c r="W17" s="128"/>
      <c r="X17" s="128"/>
      <c r="Y17" s="128"/>
      <c r="Z17" s="128"/>
      <c r="AA17" s="128"/>
      <c r="AB17" s="128"/>
      <c r="AC17" s="128"/>
      <c r="AD17" s="128"/>
      <c r="AE17" s="128"/>
      <c r="AF17" s="241">
        <f>IF(AL19=2,0.25,IF(AL19=3,0.5,0))</f>
        <v>0</v>
      </c>
      <c r="AG17" s="241"/>
      <c r="AH17" s="241"/>
      <c r="AI17" s="8"/>
      <c r="AJ17" s="8"/>
      <c r="AK17" s="8"/>
      <c r="AL17" s="8"/>
      <c r="AM17" s="23">
        <f>LARGE(O16:O17,1)</f>
        <v>0</v>
      </c>
      <c r="AN17" s="96">
        <f>ROUND(AM17,2)</f>
        <v>0</v>
      </c>
      <c r="AO17" s="97">
        <f>ROUND(AN17+AN18*(1-AN17),2)</f>
        <v>0</v>
      </c>
      <c r="AP17" s="23">
        <f>LARGE(AF16:AF17,1)</f>
        <v>0</v>
      </c>
      <c r="AQ17" s="96">
        <f>ROUND(AP17,2)</f>
        <v>0</v>
      </c>
      <c r="AR17" s="40">
        <f>ROUND(AQ17+AQ18*(1-AQ17),2)</f>
        <v>0</v>
      </c>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row>
    <row r="18" spans="1:214" ht="60" customHeight="1" x14ac:dyDescent="0.3">
      <c r="A18" s="3"/>
      <c r="B18" s="226"/>
      <c r="C18" s="226"/>
      <c r="D18" s="226"/>
      <c r="E18" s="226"/>
      <c r="F18" s="226"/>
      <c r="G18" s="226"/>
      <c r="H18" s="226"/>
      <c r="I18" s="226"/>
      <c r="J18" s="226"/>
      <c r="K18" s="226"/>
      <c r="L18" s="226"/>
      <c r="M18" s="226"/>
      <c r="N18" s="226"/>
      <c r="O18" s="217"/>
      <c r="P18" s="218"/>
      <c r="Q18" s="219"/>
      <c r="R18" s="213"/>
      <c r="S18" s="226"/>
      <c r="T18" s="226"/>
      <c r="U18" s="226"/>
      <c r="V18" s="226"/>
      <c r="W18" s="226"/>
      <c r="X18" s="226"/>
      <c r="Y18" s="226"/>
      <c r="Z18" s="226"/>
      <c r="AA18" s="226"/>
      <c r="AB18" s="226"/>
      <c r="AC18" s="226"/>
      <c r="AD18" s="226"/>
      <c r="AE18" s="226"/>
      <c r="AF18" s="241"/>
      <c r="AG18" s="241"/>
      <c r="AH18" s="241"/>
      <c r="AI18" s="8"/>
      <c r="AJ18" s="8"/>
      <c r="AK18" s="8">
        <v>1E-4</v>
      </c>
      <c r="AL18" s="93">
        <v>1</v>
      </c>
      <c r="AM18" s="22">
        <f>LARGE(O16:O17,2)</f>
        <v>0</v>
      </c>
      <c r="AN18" s="79">
        <f>ROUND(AM18,2)</f>
        <v>0</v>
      </c>
      <c r="AO18" s="6"/>
      <c r="AP18" s="22">
        <f>LARGE(AF16:AF17,2)</f>
        <v>0</v>
      </c>
      <c r="AQ18" s="79">
        <f>ROUND(AP18,2)</f>
        <v>0</v>
      </c>
      <c r="AR18" s="34"/>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row>
    <row r="19" spans="1:214" ht="27.75" customHeight="1" x14ac:dyDescent="0.3">
      <c r="B19" s="237" t="s">
        <v>24</v>
      </c>
      <c r="C19" s="237"/>
      <c r="D19" s="237"/>
      <c r="E19" s="237"/>
      <c r="F19" s="237"/>
      <c r="G19" s="237"/>
      <c r="H19" s="237"/>
      <c r="I19" s="237"/>
      <c r="J19" s="237"/>
      <c r="K19" s="237"/>
      <c r="L19" s="237"/>
      <c r="M19" s="237"/>
      <c r="N19" s="237"/>
      <c r="O19" s="206">
        <f>IF(OR(O16+O17=O16,O16+O17=O17),SUM(O16,O17),AO17)</f>
        <v>0</v>
      </c>
      <c r="P19" s="206"/>
      <c r="Q19" s="206"/>
      <c r="R19" s="224"/>
      <c r="S19" s="237" t="s">
        <v>25</v>
      </c>
      <c r="T19" s="237"/>
      <c r="U19" s="237"/>
      <c r="V19" s="237"/>
      <c r="W19" s="237"/>
      <c r="X19" s="237"/>
      <c r="Y19" s="237"/>
      <c r="Z19" s="237"/>
      <c r="AA19" s="237"/>
      <c r="AB19" s="237"/>
      <c r="AC19" s="237"/>
      <c r="AD19" s="237"/>
      <c r="AE19" s="237"/>
      <c r="AF19" s="206">
        <f>IF(OR(AF16+AF17=AF16,AF16+AF17=AF17),SUM(AF16,AF17),AR17)</f>
        <v>0</v>
      </c>
      <c r="AG19" s="206"/>
      <c r="AH19" s="206"/>
      <c r="AI19" s="8"/>
      <c r="AJ19" s="8"/>
      <c r="AK19" s="8"/>
      <c r="AL19" s="93">
        <v>1</v>
      </c>
      <c r="AM19" s="7"/>
      <c r="AN19" s="29"/>
      <c r="AO19" s="7"/>
      <c r="AP19" s="29"/>
      <c r="AQ19" s="34"/>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row>
    <row r="20" spans="1:214" ht="8.25" customHeight="1" x14ac:dyDescent="0.3">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8"/>
      <c r="AJ20" s="8"/>
      <c r="AK20" s="8"/>
      <c r="AL20" s="8"/>
      <c r="AM20" s="39"/>
      <c r="AN20" s="39"/>
      <c r="AO20" s="38"/>
      <c r="AP20" s="34"/>
      <c r="AQ20" s="34"/>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row>
    <row r="21" spans="1:214" ht="18" customHeight="1" x14ac:dyDescent="0.3">
      <c r="B21" s="211" t="s">
        <v>140</v>
      </c>
      <c r="C21" s="211"/>
      <c r="D21" s="211"/>
      <c r="E21" s="211"/>
      <c r="F21" s="211"/>
      <c r="G21" s="211"/>
      <c r="H21" s="211"/>
      <c r="I21" s="211"/>
      <c r="J21" s="211"/>
      <c r="K21" s="211"/>
      <c r="L21" s="211"/>
      <c r="M21" s="211"/>
      <c r="N21" s="211"/>
      <c r="O21" s="211"/>
      <c r="P21" s="211"/>
      <c r="Q21" s="211"/>
      <c r="R21" s="212"/>
      <c r="S21" s="211" t="s">
        <v>141</v>
      </c>
      <c r="T21" s="211"/>
      <c r="U21" s="211"/>
      <c r="V21" s="211"/>
      <c r="W21" s="211"/>
      <c r="X21" s="211"/>
      <c r="Y21" s="211"/>
      <c r="Z21" s="211"/>
      <c r="AA21" s="211"/>
      <c r="AB21" s="211"/>
      <c r="AC21" s="211"/>
      <c r="AD21" s="211"/>
      <c r="AE21" s="211"/>
      <c r="AF21" s="211"/>
      <c r="AG21" s="211"/>
      <c r="AH21" s="211"/>
      <c r="AI21" s="8"/>
      <c r="AJ21" s="8"/>
      <c r="AQ21" s="34"/>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row>
    <row r="22" spans="1:214" ht="27" customHeight="1" x14ac:dyDescent="0.3">
      <c r="A22" s="3"/>
      <c r="B22" s="193"/>
      <c r="C22" s="194"/>
      <c r="D22" s="195" t="s">
        <v>146</v>
      </c>
      <c r="E22" s="196"/>
      <c r="F22" s="196"/>
      <c r="G22" s="196"/>
      <c r="H22" s="196"/>
      <c r="I22" s="196"/>
      <c r="J22" s="196"/>
      <c r="K22" s="196"/>
      <c r="L22" s="196"/>
      <c r="M22" s="196"/>
      <c r="N22" s="196"/>
      <c r="O22" s="196"/>
      <c r="P22" s="196"/>
      <c r="Q22" s="197"/>
      <c r="R22" s="213"/>
      <c r="S22" s="193"/>
      <c r="T22" s="194"/>
      <c r="U22" s="195" t="s">
        <v>146</v>
      </c>
      <c r="V22" s="196"/>
      <c r="W22" s="196"/>
      <c r="X22" s="196"/>
      <c r="Y22" s="196"/>
      <c r="Z22" s="196"/>
      <c r="AA22" s="196"/>
      <c r="AB22" s="196"/>
      <c r="AC22" s="196"/>
      <c r="AD22" s="196"/>
      <c r="AE22" s="196"/>
      <c r="AF22" s="196"/>
      <c r="AG22" s="196"/>
      <c r="AH22" s="197"/>
      <c r="AI22" s="8"/>
      <c r="AJ22" s="8"/>
      <c r="AK22" s="93" t="b">
        <v>0</v>
      </c>
      <c r="AL22" s="93" t="b">
        <v>0</v>
      </c>
      <c r="AM22" s="21" t="s">
        <v>142</v>
      </c>
      <c r="AN22" s="21" t="s">
        <v>143</v>
      </c>
      <c r="AO22" s="22" t="s">
        <v>144</v>
      </c>
      <c r="AP22" s="12" t="s">
        <v>145</v>
      </c>
      <c r="AQ22" s="34"/>
      <c r="AR22" s="8">
        <v>1E-4</v>
      </c>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row>
    <row r="23" spans="1:214" ht="18" customHeight="1" x14ac:dyDescent="0.3">
      <c r="B23" s="128" t="s">
        <v>178</v>
      </c>
      <c r="C23" s="128"/>
      <c r="D23" s="128"/>
      <c r="E23" s="128"/>
      <c r="F23" s="128"/>
      <c r="G23" s="128"/>
      <c r="H23" s="128"/>
      <c r="I23" s="128"/>
      <c r="J23" s="128"/>
      <c r="K23" s="243"/>
      <c r="L23" s="243"/>
      <c r="M23" s="243"/>
      <c r="N23" s="208" t="s">
        <v>179</v>
      </c>
      <c r="O23" s="208"/>
      <c r="P23" s="208"/>
      <c r="Q23" s="208"/>
      <c r="R23" s="213"/>
      <c r="S23" s="128" t="s">
        <v>178</v>
      </c>
      <c r="T23" s="128"/>
      <c r="U23" s="128"/>
      <c r="V23" s="128"/>
      <c r="W23" s="128"/>
      <c r="X23" s="128"/>
      <c r="Y23" s="128"/>
      <c r="Z23" s="128"/>
      <c r="AA23" s="128"/>
      <c r="AB23" s="243"/>
      <c r="AC23" s="243"/>
      <c r="AD23" s="243"/>
      <c r="AE23" s="208" t="s">
        <v>179</v>
      </c>
      <c r="AF23" s="208"/>
      <c r="AG23" s="208"/>
      <c r="AH23" s="208"/>
      <c r="AI23" s="8"/>
      <c r="AJ23" s="8"/>
      <c r="AK23" s="13">
        <f>IF(AK22=TRUE,1,0)</f>
        <v>0</v>
      </c>
      <c r="AL23" s="13">
        <f>IF(AL22=TRUE,1,0)</f>
        <v>0</v>
      </c>
      <c r="AM23" s="24">
        <f>K23/100</f>
        <v>0</v>
      </c>
      <c r="AN23" s="24">
        <f>AB23/100</f>
        <v>0</v>
      </c>
      <c r="AO23" s="24">
        <f>'Eye-Table'!D9</f>
        <v>0</v>
      </c>
      <c r="AP23" s="25">
        <f>'Eye-Table'!E9</f>
        <v>0</v>
      </c>
      <c r="AQ23" s="34"/>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row>
    <row r="24" spans="1:214" ht="44.25" customHeight="1" x14ac:dyDescent="0.3">
      <c r="B24" s="248" t="s">
        <v>168</v>
      </c>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50"/>
      <c r="AI24" s="8"/>
      <c r="AJ24" s="8"/>
      <c r="AK24" s="8"/>
      <c r="AL24" s="251" t="s">
        <v>180</v>
      </c>
      <c r="AM24" s="240"/>
      <c r="AN24" s="240" t="s">
        <v>94</v>
      </c>
      <c r="AO24" s="240"/>
      <c r="AP24" s="42"/>
      <c r="AQ24" s="42"/>
      <c r="AR24" s="247" t="s">
        <v>95</v>
      </c>
      <c r="AS24" s="247"/>
      <c r="AT24" s="7"/>
      <c r="AU24" s="7"/>
      <c r="AV24" s="7"/>
      <c r="AW24" s="7"/>
      <c r="AX24" s="7"/>
      <c r="AY24" s="7"/>
      <c r="AZ24" s="7"/>
      <c r="BA24" s="7"/>
      <c r="BB24" s="7"/>
      <c r="BC24" s="7"/>
      <c r="BD24" s="8"/>
      <c r="BE24" s="7"/>
      <c r="BF24" s="7"/>
      <c r="BG24" s="7"/>
      <c r="BH24" s="8"/>
      <c r="BI24" s="7"/>
      <c r="BJ24" s="7"/>
      <c r="BK24" s="7"/>
      <c r="BL24" s="8"/>
      <c r="BM24" s="7"/>
      <c r="BN24" s="7"/>
      <c r="BO24" s="7"/>
      <c r="BP24" s="8"/>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9"/>
      <c r="GM24" s="9"/>
      <c r="GN24" s="9"/>
      <c r="GO24" s="9"/>
      <c r="GP24" s="9"/>
      <c r="GQ24" s="9"/>
      <c r="GR24" s="9"/>
      <c r="GS24" s="9"/>
      <c r="GT24" s="9"/>
      <c r="GU24" s="9"/>
      <c r="GV24" s="9"/>
      <c r="GW24" s="9"/>
      <c r="GX24" s="9"/>
      <c r="GY24" s="9"/>
      <c r="GZ24" s="9"/>
      <c r="HA24" s="9"/>
      <c r="HB24" s="9"/>
      <c r="HC24" s="9"/>
      <c r="HD24" s="9"/>
      <c r="HE24" s="9"/>
      <c r="HF24" s="9"/>
    </row>
    <row r="25" spans="1:214" ht="18" customHeight="1" x14ac:dyDescent="0.3">
      <c r="B25" s="128" t="s">
        <v>96</v>
      </c>
      <c r="C25" s="128"/>
      <c r="D25" s="128"/>
      <c r="E25" s="128"/>
      <c r="F25" s="128"/>
      <c r="G25" s="128"/>
      <c r="H25" s="171"/>
      <c r="I25" s="172"/>
      <c r="J25" s="173"/>
      <c r="K25" s="187" t="str">
        <f>IF(AK23=1,85,IF(AL25&lt;&gt;"",AL25,IF(H25&gt;85,85,IF(H25="","",H25))))</f>
        <v/>
      </c>
      <c r="L25" s="187"/>
      <c r="M25" s="187"/>
      <c r="N25" s="205" t="s">
        <v>182</v>
      </c>
      <c r="O25" s="205"/>
      <c r="P25" s="205"/>
      <c r="Q25" s="205"/>
      <c r="R25" s="213"/>
      <c r="S25" s="128" t="s">
        <v>96</v>
      </c>
      <c r="T25" s="128"/>
      <c r="U25" s="128"/>
      <c r="V25" s="128"/>
      <c r="W25" s="128"/>
      <c r="X25" s="128"/>
      <c r="Y25" s="171"/>
      <c r="Z25" s="172"/>
      <c r="AA25" s="173"/>
      <c r="AB25" s="187" t="str">
        <f>IF(AL23=1,85,IF(AN25&lt;&gt;"",AN25,IF(Y25&gt;85,85,IF(Y25="","",Y25))))</f>
        <v/>
      </c>
      <c r="AC25" s="187"/>
      <c r="AD25" s="187"/>
      <c r="AE25" s="227" t="s">
        <v>182</v>
      </c>
      <c r="AF25" s="228"/>
      <c r="AG25" s="228"/>
      <c r="AH25" s="229"/>
      <c r="AI25" s="8"/>
      <c r="AJ25" s="8"/>
      <c r="AK25" s="8"/>
      <c r="AL25" s="26" t="str">
        <f>IF(OR(N27="GHA",N27="HAB", N27="EFGHA",N27="FGHAB",N27="GHABC",N27="HABCD"),0,IF(N27="ABC",75,IF(N27="ABCDE",72,"")))</f>
        <v/>
      </c>
      <c r="AM25" s="26">
        <f t="shared" ref="AM25:AM33" si="0">IF(AND(H25&gt;0,K25=0),1,0)</f>
        <v>0</v>
      </c>
      <c r="AN25" s="26" t="str">
        <f>IF(OR(AE27="GHA",AE27="HAB", AE27="EFGHA",AE27="FGHAB",AE27="GHABC",AE27="HABCD"),0,IF(AE27="ABC",75,IF(AE27="ABCDE",72,"")))</f>
        <v/>
      </c>
      <c r="AO25" s="26">
        <f t="shared" ref="AO25:AO32" si="1">IF(AND(Y25&gt;0,AB25=0),1,0)</f>
        <v>0</v>
      </c>
      <c r="AP25" s="7"/>
      <c r="AQ25" s="7"/>
      <c r="AR25" s="26" t="str">
        <f t="shared" ref="AR25:AR32" si="2">IF(K25="","",1)</f>
        <v/>
      </c>
      <c r="AS25" s="26" t="str">
        <f t="shared" ref="AS25:AS32" si="3">IF(AB25="","",1)</f>
        <v/>
      </c>
      <c r="AT25" s="7"/>
      <c r="AU25" s="7"/>
      <c r="AV25" s="7"/>
      <c r="AW25" s="7"/>
      <c r="AX25" s="7"/>
      <c r="AY25" s="7"/>
      <c r="AZ25" s="7"/>
      <c r="BA25" s="7"/>
      <c r="BB25" s="7"/>
      <c r="BC25" s="7"/>
      <c r="BD25" s="7"/>
      <c r="BE25" s="37"/>
      <c r="BF25" s="37"/>
      <c r="BG25" s="7"/>
      <c r="BH25" s="7"/>
      <c r="BI25" s="7"/>
      <c r="BJ25" s="37"/>
      <c r="BK25" s="7"/>
      <c r="BL25" s="7"/>
      <c r="BM25" s="7"/>
      <c r="BN25" s="37"/>
      <c r="BO25" s="7"/>
      <c r="BP25" s="7"/>
      <c r="BQ25" s="7"/>
      <c r="BR25" s="3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9"/>
      <c r="GM25" s="9"/>
      <c r="GN25" s="9"/>
      <c r="GO25" s="9"/>
      <c r="GP25" s="9"/>
      <c r="GQ25" s="9"/>
      <c r="GR25" s="9"/>
      <c r="GS25" s="9"/>
      <c r="GT25" s="9"/>
      <c r="GU25" s="9"/>
      <c r="GV25" s="9"/>
      <c r="GW25" s="9"/>
      <c r="GX25" s="9"/>
      <c r="GY25" s="9"/>
      <c r="GZ25" s="9"/>
      <c r="HA25" s="9"/>
      <c r="HB25" s="9"/>
      <c r="HC25" s="9"/>
      <c r="HD25" s="9"/>
      <c r="HE25" s="9"/>
      <c r="HF25" s="9"/>
    </row>
    <row r="26" spans="1:214" ht="18" customHeight="1" x14ac:dyDescent="0.3">
      <c r="B26" s="128" t="s">
        <v>183</v>
      </c>
      <c r="C26" s="128"/>
      <c r="D26" s="128"/>
      <c r="E26" s="128"/>
      <c r="F26" s="128"/>
      <c r="G26" s="128"/>
      <c r="H26" s="171"/>
      <c r="I26" s="172"/>
      <c r="J26" s="173"/>
      <c r="K26" s="187" t="str">
        <f>IF(AK23=1,85,IF(AL26&lt;&gt;"",AL26,IF(H26&gt;85,85,IF(H26="","",H26))))</f>
        <v/>
      </c>
      <c r="L26" s="187"/>
      <c r="M26" s="187"/>
      <c r="N26" s="205"/>
      <c r="O26" s="205"/>
      <c r="P26" s="205"/>
      <c r="Q26" s="205"/>
      <c r="R26" s="213"/>
      <c r="S26" s="128" t="s">
        <v>183</v>
      </c>
      <c r="T26" s="128"/>
      <c r="U26" s="128"/>
      <c r="V26" s="128"/>
      <c r="W26" s="128"/>
      <c r="X26" s="128"/>
      <c r="Y26" s="171"/>
      <c r="Z26" s="172"/>
      <c r="AA26" s="173"/>
      <c r="AB26" s="187" t="str">
        <f>IF(AL23=1,85,IF(AN26&lt;&gt;"",AN26,IF(Y26&gt;85,85,IF(Y26="","",Y26))))</f>
        <v/>
      </c>
      <c r="AC26" s="187"/>
      <c r="AD26" s="187"/>
      <c r="AE26" s="230"/>
      <c r="AF26" s="231"/>
      <c r="AG26" s="231"/>
      <c r="AH26" s="232"/>
      <c r="AI26" s="8"/>
      <c r="AJ26" s="8"/>
      <c r="AK26" s="8"/>
      <c r="AL26" s="26" t="str">
        <f>IF(OR(N27="HAB",N27="ABC", N27="FGHAB",N27="GHABC",N27="HABCD",N27="ABCDE"),0,IF(N27="BCD",67,IF(N27="BCDEF",70,"")))</f>
        <v/>
      </c>
      <c r="AM26" s="26">
        <f t="shared" si="0"/>
        <v>0</v>
      </c>
      <c r="AN26" s="26" t="str">
        <f>IF(OR(AE27="HAB",AE27="ABC", AE27="FGHAB",AE27="GHABC",AE27="HABCD",AE27="ABCDE"),0,IF(AE27="BCD",67,IF(AE27="BCDEF",70,"")))</f>
        <v/>
      </c>
      <c r="AO26" s="26">
        <f t="shared" si="1"/>
        <v>0</v>
      </c>
      <c r="AP26" s="7"/>
      <c r="AQ26" s="7"/>
      <c r="AR26" s="26" t="str">
        <f t="shared" si="2"/>
        <v/>
      </c>
      <c r="AS26" s="26" t="str">
        <f t="shared" si="3"/>
        <v/>
      </c>
      <c r="AT26" s="7"/>
      <c r="AU26" s="7"/>
      <c r="AV26" s="7"/>
      <c r="AW26" s="7"/>
      <c r="AX26" s="7"/>
      <c r="AY26" s="7"/>
      <c r="AZ26" s="7"/>
      <c r="BA26" s="7"/>
      <c r="BB26" s="7"/>
      <c r="BC26" s="7"/>
      <c r="BD26" s="7"/>
      <c r="BE26" s="37"/>
      <c r="BF26" s="37"/>
      <c r="BG26" s="7"/>
      <c r="BH26" s="7"/>
      <c r="BI26" s="7"/>
      <c r="BJ26" s="37"/>
      <c r="BK26" s="7"/>
      <c r="BL26" s="7"/>
      <c r="BM26" s="7"/>
      <c r="BN26" s="37"/>
      <c r="BO26" s="7"/>
      <c r="BP26" s="7"/>
      <c r="BQ26" s="7"/>
      <c r="BR26" s="3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9"/>
      <c r="GM26" s="9"/>
      <c r="GN26" s="9"/>
      <c r="GO26" s="9"/>
      <c r="GP26" s="9"/>
      <c r="GQ26" s="9"/>
      <c r="GR26" s="9"/>
      <c r="GS26" s="9"/>
      <c r="GT26" s="9"/>
      <c r="GU26" s="9"/>
      <c r="GV26" s="9"/>
      <c r="GW26" s="9"/>
      <c r="GX26" s="9"/>
      <c r="GY26" s="9"/>
      <c r="GZ26" s="9"/>
      <c r="HA26" s="9"/>
      <c r="HB26" s="9"/>
      <c r="HC26" s="9"/>
      <c r="HD26" s="9"/>
      <c r="HE26" s="9"/>
      <c r="HF26" s="9"/>
    </row>
    <row r="27" spans="1:214" ht="18" customHeight="1" x14ac:dyDescent="0.3">
      <c r="B27" s="128" t="s">
        <v>184</v>
      </c>
      <c r="C27" s="128"/>
      <c r="D27" s="128"/>
      <c r="E27" s="128"/>
      <c r="F27" s="128"/>
      <c r="G27" s="128"/>
      <c r="H27" s="171"/>
      <c r="I27" s="172"/>
      <c r="J27" s="173"/>
      <c r="K27" s="187" t="str">
        <f>IF(AK23=1,65,IF(AL27&lt;&gt;"",AL27,IF(H27&gt;65,65,IF(H27="","",H27))))</f>
        <v/>
      </c>
      <c r="L27" s="187"/>
      <c r="M27" s="187"/>
      <c r="N27" s="207"/>
      <c r="O27" s="207"/>
      <c r="P27" s="207"/>
      <c r="Q27" s="207"/>
      <c r="R27" s="213"/>
      <c r="S27" s="128" t="s">
        <v>184</v>
      </c>
      <c r="T27" s="128"/>
      <c r="U27" s="128"/>
      <c r="V27" s="128"/>
      <c r="W27" s="128"/>
      <c r="X27" s="128"/>
      <c r="Y27" s="171"/>
      <c r="Z27" s="172"/>
      <c r="AA27" s="173"/>
      <c r="AB27" s="187" t="str">
        <f>IF(AL23=1,65,IF(AN27&lt;&gt;"",AN27,IF(Y27&gt;65,65,IF(Y27="","",Y27))))</f>
        <v/>
      </c>
      <c r="AC27" s="187"/>
      <c r="AD27" s="187"/>
      <c r="AE27" s="207"/>
      <c r="AF27" s="207"/>
      <c r="AG27" s="207"/>
      <c r="AH27" s="207"/>
      <c r="AI27" s="8"/>
      <c r="AJ27" s="8"/>
      <c r="AK27" s="8"/>
      <c r="AL27" s="26" t="str">
        <f>IF(OR(N27="ABC",N27="BCD", N27="GHABC",N27="HABCD",N27="ABCDE",N27="BCDEF"),0,IF(N27="CDE",62,IF(N27="CDEFG",55,"")))</f>
        <v/>
      </c>
      <c r="AM27" s="26">
        <f t="shared" si="0"/>
        <v>0</v>
      </c>
      <c r="AN27" s="26" t="str">
        <f>IF(OR(AE27="ABC",AE27="BCD", AE27="GHABC",AE27="HABCD",AE27="ABCDE",AE27="BCDEF"),0,IF(AE27="CDE",62,IF(AE27="CDEFG",55,"")))</f>
        <v/>
      </c>
      <c r="AO27" s="26">
        <f t="shared" si="1"/>
        <v>0</v>
      </c>
      <c r="AP27" s="7"/>
      <c r="AQ27" s="7"/>
      <c r="AR27" s="26" t="str">
        <f t="shared" si="2"/>
        <v/>
      </c>
      <c r="AS27" s="26" t="str">
        <f t="shared" si="3"/>
        <v/>
      </c>
      <c r="AT27" s="7"/>
      <c r="AU27" s="7"/>
      <c r="AV27" s="7"/>
      <c r="AW27" s="7"/>
      <c r="AX27" s="7"/>
      <c r="AY27" s="7"/>
      <c r="AZ27" s="7"/>
      <c r="BA27" s="7"/>
      <c r="BB27" s="7"/>
      <c r="BC27" s="7"/>
      <c r="BD27" s="7"/>
      <c r="BE27" s="37"/>
      <c r="BF27" s="37"/>
      <c r="BG27" s="7"/>
      <c r="BH27" s="7"/>
      <c r="BI27" s="7"/>
      <c r="BJ27" s="37"/>
      <c r="BK27" s="7"/>
      <c r="BL27" s="7"/>
      <c r="BM27" s="7"/>
      <c r="BN27" s="37"/>
      <c r="BO27" s="7"/>
      <c r="BP27" s="7"/>
      <c r="BQ27" s="7"/>
      <c r="BR27" s="3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9"/>
      <c r="GM27" s="9"/>
      <c r="GN27" s="9"/>
      <c r="GO27" s="9"/>
      <c r="GP27" s="9"/>
      <c r="GQ27" s="9"/>
      <c r="GR27" s="9"/>
      <c r="GS27" s="9"/>
      <c r="GT27" s="9"/>
      <c r="GU27" s="9"/>
      <c r="GV27" s="9"/>
      <c r="GW27" s="9"/>
      <c r="GX27" s="9"/>
      <c r="GY27" s="9"/>
      <c r="GZ27" s="9"/>
      <c r="HA27" s="9"/>
      <c r="HB27" s="9"/>
      <c r="HC27" s="9"/>
      <c r="HD27" s="9"/>
      <c r="HE27" s="9"/>
      <c r="HF27" s="9"/>
    </row>
    <row r="28" spans="1:214" ht="18" customHeight="1" x14ac:dyDescent="0.3">
      <c r="B28" s="128" t="s">
        <v>129</v>
      </c>
      <c r="C28" s="128"/>
      <c r="D28" s="128"/>
      <c r="E28" s="128"/>
      <c r="F28" s="128"/>
      <c r="G28" s="128"/>
      <c r="H28" s="171"/>
      <c r="I28" s="172"/>
      <c r="J28" s="173"/>
      <c r="K28" s="187" t="str">
        <f>IF(AK23=1,50,IF(AL28&lt;&gt;"",AL28,IF(H28&gt;50,50,IF(H28="","",H28))))</f>
        <v/>
      </c>
      <c r="L28" s="187"/>
      <c r="M28" s="187"/>
      <c r="N28" s="174" t="str">
        <f>IF(AND(AM23&gt;0,K34&lt;&gt;""),AL35,IF(AM34&gt;0,AM35,IF(OR(AP32=K33,AR34=1),AN35,"")))</f>
        <v/>
      </c>
      <c r="O28" s="175"/>
      <c r="P28" s="175"/>
      <c r="Q28" s="176"/>
      <c r="R28" s="213"/>
      <c r="S28" s="128" t="s">
        <v>129</v>
      </c>
      <c r="T28" s="128"/>
      <c r="U28" s="128"/>
      <c r="V28" s="128"/>
      <c r="W28" s="128"/>
      <c r="X28" s="128"/>
      <c r="Y28" s="171"/>
      <c r="Z28" s="172"/>
      <c r="AA28" s="173"/>
      <c r="AB28" s="187" t="str">
        <f>IF(AL23=1,50,IF(AN28&lt;&gt;"",AN28,IF(Y28&gt;50,50,IF(Y28="","",Y28))))</f>
        <v/>
      </c>
      <c r="AC28" s="187"/>
      <c r="AD28" s="187"/>
      <c r="AE28" s="174" t="str">
        <f>IF(AND(AN23&gt;0,AB34&lt;&gt;""),AL35,IF(AO34&gt;0,AM35,IF(OR(AQ32=AB33,AS34=1),AN35,"")))</f>
        <v/>
      </c>
      <c r="AF28" s="175"/>
      <c r="AG28" s="175"/>
      <c r="AH28" s="176"/>
      <c r="AI28" s="8"/>
      <c r="AJ28" s="8"/>
      <c r="AK28" s="8"/>
      <c r="AL28" s="26" t="str">
        <f>IF(OR(N27="BCD",N27="CDE", N27="HABCD",N27="ABCDE",N27="BCDEF",N27="CDEFG"),0,IF(N27="DEF",52,IF(N27="DEFGH",52,"")))</f>
        <v/>
      </c>
      <c r="AM28" s="26">
        <f t="shared" si="0"/>
        <v>0</v>
      </c>
      <c r="AN28" s="26" t="str">
        <f>IF(OR(AE27="BCD",AE27="CDE", AE27="HABCD",AE27="ABCDE",AE27="BCDEF",AE27="CDEFG"),0,IF(AE27="DEF",52,IF(AE27="DEFGH",52,"")))</f>
        <v/>
      </c>
      <c r="AO28" s="26">
        <f t="shared" si="1"/>
        <v>0</v>
      </c>
      <c r="AP28" s="7"/>
      <c r="AQ28" s="7"/>
      <c r="AR28" s="26" t="str">
        <f t="shared" si="2"/>
        <v/>
      </c>
      <c r="AS28" s="26" t="str">
        <f t="shared" si="3"/>
        <v/>
      </c>
      <c r="AT28" s="7"/>
      <c r="AU28" s="7"/>
      <c r="AV28" s="7"/>
      <c r="AW28" s="7"/>
      <c r="AX28" s="7"/>
      <c r="AY28" s="7"/>
      <c r="AZ28" s="7"/>
      <c r="BA28" s="7"/>
      <c r="BB28" s="7"/>
      <c r="BC28" s="7"/>
      <c r="BD28" s="7"/>
      <c r="BE28" s="37"/>
      <c r="BF28" s="37"/>
      <c r="BG28" s="7"/>
      <c r="BH28" s="7"/>
      <c r="BI28" s="7"/>
      <c r="BJ28" s="37"/>
      <c r="BK28" s="7"/>
      <c r="BL28" s="7"/>
      <c r="BM28" s="7"/>
      <c r="BN28" s="37"/>
      <c r="BO28" s="7"/>
      <c r="BP28" s="7"/>
      <c r="BQ28" s="7"/>
      <c r="BR28" s="3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9"/>
      <c r="GM28" s="9"/>
      <c r="GN28" s="9"/>
      <c r="GO28" s="9"/>
      <c r="GP28" s="9"/>
      <c r="GQ28" s="9"/>
      <c r="GR28" s="9"/>
      <c r="GS28" s="9"/>
      <c r="GT28" s="9"/>
      <c r="GU28" s="9"/>
      <c r="GV28" s="9"/>
      <c r="GW28" s="9"/>
      <c r="GX28" s="9"/>
      <c r="GY28" s="9"/>
      <c r="GZ28" s="9"/>
      <c r="HA28" s="9"/>
      <c r="HB28" s="9"/>
      <c r="HC28" s="9"/>
      <c r="HD28" s="9"/>
      <c r="HE28" s="9"/>
      <c r="HF28" s="9"/>
    </row>
    <row r="29" spans="1:214" ht="18" customHeight="1" x14ac:dyDescent="0.3">
      <c r="B29" s="128" t="s">
        <v>130</v>
      </c>
      <c r="C29" s="128"/>
      <c r="D29" s="128"/>
      <c r="E29" s="128"/>
      <c r="F29" s="128"/>
      <c r="G29" s="128"/>
      <c r="H29" s="171"/>
      <c r="I29" s="172"/>
      <c r="J29" s="173"/>
      <c r="K29" s="187" t="str">
        <f>IF(AK23=1,60,IF(AL29&lt;&gt;"",AL29,IF(H29&gt;60,60,IF(H29="","",H29))))</f>
        <v/>
      </c>
      <c r="L29" s="187"/>
      <c r="M29" s="187"/>
      <c r="N29" s="177"/>
      <c r="O29" s="178"/>
      <c r="P29" s="178"/>
      <c r="Q29" s="179"/>
      <c r="R29" s="213"/>
      <c r="S29" s="128" t="s">
        <v>130</v>
      </c>
      <c r="T29" s="128"/>
      <c r="U29" s="128"/>
      <c r="V29" s="128"/>
      <c r="W29" s="128"/>
      <c r="X29" s="128"/>
      <c r="Y29" s="171"/>
      <c r="Z29" s="172"/>
      <c r="AA29" s="173"/>
      <c r="AB29" s="187" t="str">
        <f>IF(AL23=1,60,IF(AN29&lt;&gt;"",AN29,IF(Y29&gt;60,60,IF(Y29="","",Y29))))</f>
        <v/>
      </c>
      <c r="AC29" s="187"/>
      <c r="AD29" s="187"/>
      <c r="AE29" s="177"/>
      <c r="AF29" s="178"/>
      <c r="AG29" s="178"/>
      <c r="AH29" s="179"/>
      <c r="AI29" s="8"/>
      <c r="AJ29" s="8"/>
      <c r="AK29" s="8"/>
      <c r="AL29" s="26" t="str">
        <f>IF(OR(N27="CDE",N27="DEF", N27="ABCDE",N27="BCDEF",N27="CDEFG",N27="DEFGH"),0,IF(N27="EFG",52,IF(N27="EFGHA",72,"")))</f>
        <v/>
      </c>
      <c r="AM29" s="26">
        <f t="shared" si="0"/>
        <v>0</v>
      </c>
      <c r="AN29" s="26" t="str">
        <f>IF(OR(AE27="CDE",AE27="DEF", AE27="ABCDE",AE27="BCDEF",AE27="CDEFG",AE27="DEFGH"),0,IF(AE27="EFG",52,IF(AE27="EFGHA",72,"")))</f>
        <v/>
      </c>
      <c r="AO29" s="26">
        <f t="shared" si="1"/>
        <v>0</v>
      </c>
      <c r="AP29" s="7"/>
      <c r="AQ29" s="7"/>
      <c r="AR29" s="26" t="str">
        <f t="shared" si="2"/>
        <v/>
      </c>
      <c r="AS29" s="26" t="str">
        <f t="shared" si="3"/>
        <v/>
      </c>
      <c r="AT29" s="7"/>
      <c r="AU29" s="7"/>
      <c r="AV29" s="7"/>
      <c r="AW29" s="7"/>
      <c r="AX29" s="7"/>
      <c r="AY29" s="7"/>
      <c r="AZ29" s="7"/>
      <c r="BA29" s="7"/>
      <c r="BB29" s="7"/>
      <c r="BC29" s="7"/>
      <c r="BD29" s="7"/>
      <c r="BE29" s="37"/>
      <c r="BF29" s="37"/>
      <c r="BG29" s="7"/>
      <c r="BH29" s="7"/>
      <c r="BI29" s="7"/>
      <c r="BJ29" s="37"/>
      <c r="BK29" s="7"/>
      <c r="BL29" s="7"/>
      <c r="BM29" s="7"/>
      <c r="BN29" s="37"/>
      <c r="BO29" s="7"/>
      <c r="BP29" s="7"/>
      <c r="BQ29" s="7"/>
      <c r="BR29" s="3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9"/>
      <c r="GM29" s="9"/>
      <c r="GN29" s="9"/>
      <c r="GO29" s="9"/>
      <c r="GP29" s="9"/>
      <c r="GQ29" s="9"/>
      <c r="GR29" s="9"/>
      <c r="GS29" s="9"/>
      <c r="GT29" s="9"/>
      <c r="GU29" s="9"/>
      <c r="GV29" s="9"/>
      <c r="GW29" s="9"/>
      <c r="GX29" s="9"/>
      <c r="GY29" s="9"/>
      <c r="GZ29" s="9"/>
      <c r="HA29" s="9"/>
      <c r="HB29" s="9"/>
      <c r="HC29" s="9"/>
      <c r="HD29" s="9"/>
      <c r="HE29" s="9"/>
      <c r="HF29" s="9"/>
    </row>
    <row r="30" spans="1:214" ht="18" customHeight="1" x14ac:dyDescent="0.3">
      <c r="B30" s="128" t="s">
        <v>131</v>
      </c>
      <c r="C30" s="128"/>
      <c r="D30" s="128"/>
      <c r="E30" s="128"/>
      <c r="F30" s="128"/>
      <c r="G30" s="128"/>
      <c r="H30" s="171"/>
      <c r="I30" s="172"/>
      <c r="J30" s="173"/>
      <c r="K30" s="187" t="str">
        <f>IF(AK23=1,55,IF(AL30&lt;&gt;"",AL30,IF(H30&gt;55,55,IF(H30="","",H30))))</f>
        <v/>
      </c>
      <c r="L30" s="187"/>
      <c r="M30" s="187"/>
      <c r="N30" s="177"/>
      <c r="O30" s="178"/>
      <c r="P30" s="178"/>
      <c r="Q30" s="179"/>
      <c r="R30" s="213"/>
      <c r="S30" s="128" t="s">
        <v>131</v>
      </c>
      <c r="T30" s="128"/>
      <c r="U30" s="128"/>
      <c r="V30" s="128"/>
      <c r="W30" s="128"/>
      <c r="X30" s="128"/>
      <c r="Y30" s="171"/>
      <c r="Z30" s="172"/>
      <c r="AA30" s="173"/>
      <c r="AB30" s="187" t="str">
        <f>IF(AL23=1,55,IF(AN30&lt;&gt;"",AN30,IF(Y30&gt;55,55,IF(Y30="","",Y30))))</f>
        <v/>
      </c>
      <c r="AC30" s="187"/>
      <c r="AD30" s="187"/>
      <c r="AE30" s="177"/>
      <c r="AF30" s="178"/>
      <c r="AG30" s="178"/>
      <c r="AH30" s="179"/>
      <c r="AI30" s="8"/>
      <c r="AJ30" s="8"/>
      <c r="AK30" s="8"/>
      <c r="AL30" s="26" t="str">
        <f>IF(OR(N27="DEF",N27="EFG", N27="BCDEF",N27="CDEFG",N27="DEFGH",N27="EFGHA"),0,IF(N27="FGH",55,IF(N27="FGHAB",70,"")))</f>
        <v/>
      </c>
      <c r="AM30" s="26">
        <f t="shared" si="0"/>
        <v>0</v>
      </c>
      <c r="AN30" s="26" t="str">
        <f>IF(OR(AE27="DEF",AE27="EFG", AE27="BCDEF",AE27="CDEFG",AE27="DEFGH",AE27="EFGHA"),0,IF(AE27="FGH",55,IF(AE27="FGHAB",70,"")))</f>
        <v/>
      </c>
      <c r="AO30" s="26">
        <f t="shared" si="1"/>
        <v>0</v>
      </c>
      <c r="AP30" s="7"/>
      <c r="AQ30" s="7"/>
      <c r="AR30" s="26" t="str">
        <f t="shared" si="2"/>
        <v/>
      </c>
      <c r="AS30" s="26" t="str">
        <f t="shared" si="3"/>
        <v/>
      </c>
      <c r="AT30" s="7"/>
      <c r="AU30" s="7"/>
      <c r="AV30" s="7"/>
      <c r="AW30" s="7"/>
      <c r="AX30" s="7"/>
      <c r="AY30" s="7"/>
      <c r="AZ30" s="7"/>
      <c r="BA30" s="7"/>
      <c r="BB30" s="7"/>
      <c r="BC30" s="7"/>
      <c r="BD30" s="7"/>
      <c r="BE30" s="37"/>
      <c r="BF30" s="37"/>
      <c r="BG30" s="7"/>
      <c r="BH30" s="7"/>
      <c r="BI30" s="7"/>
      <c r="BJ30" s="37"/>
      <c r="BK30" s="7"/>
      <c r="BL30" s="7"/>
      <c r="BM30" s="7"/>
      <c r="BN30" s="37"/>
      <c r="BO30" s="7"/>
      <c r="BP30" s="7"/>
      <c r="BQ30" s="7"/>
      <c r="BR30" s="3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9"/>
      <c r="GM30" s="9"/>
      <c r="GN30" s="9"/>
      <c r="GO30" s="9"/>
      <c r="GP30" s="9"/>
      <c r="GQ30" s="9"/>
      <c r="GR30" s="9"/>
      <c r="GS30" s="9"/>
      <c r="GT30" s="9"/>
      <c r="GU30" s="9"/>
      <c r="GV30" s="9"/>
      <c r="GW30" s="9"/>
      <c r="GX30" s="9"/>
      <c r="GY30" s="9"/>
      <c r="GZ30" s="9"/>
      <c r="HA30" s="9"/>
      <c r="HB30" s="9"/>
      <c r="HC30" s="9"/>
      <c r="HD30" s="9"/>
      <c r="HE30" s="9"/>
      <c r="HF30" s="9"/>
    </row>
    <row r="31" spans="1:214" ht="18" customHeight="1" x14ac:dyDescent="0.3">
      <c r="B31" s="128" t="s">
        <v>132</v>
      </c>
      <c r="C31" s="128"/>
      <c r="D31" s="128"/>
      <c r="E31" s="128"/>
      <c r="F31" s="128"/>
      <c r="G31" s="128"/>
      <c r="H31" s="171"/>
      <c r="I31" s="172"/>
      <c r="J31" s="173"/>
      <c r="K31" s="187" t="str">
        <f>IF(AK23=1,45,IF(AL31&lt;&gt;"",AL31,IF(H31&gt;45,45,IF(H31="","",H31))))</f>
        <v/>
      </c>
      <c r="L31" s="187"/>
      <c r="M31" s="187"/>
      <c r="N31" s="177"/>
      <c r="O31" s="178"/>
      <c r="P31" s="178"/>
      <c r="Q31" s="179"/>
      <c r="R31" s="213"/>
      <c r="S31" s="128" t="s">
        <v>132</v>
      </c>
      <c r="T31" s="128"/>
      <c r="U31" s="128"/>
      <c r="V31" s="128"/>
      <c r="W31" s="128"/>
      <c r="X31" s="128"/>
      <c r="Y31" s="171"/>
      <c r="Z31" s="172"/>
      <c r="AA31" s="173"/>
      <c r="AB31" s="187" t="str">
        <f>IF(AL23=1,45,IF(AN31&lt;&gt;"",AN31,IF(Y31&gt;45,45,IF(Y31="","",Y31))))</f>
        <v/>
      </c>
      <c r="AC31" s="187"/>
      <c r="AD31" s="187"/>
      <c r="AE31" s="177"/>
      <c r="AF31" s="178"/>
      <c r="AG31" s="178"/>
      <c r="AH31" s="179"/>
      <c r="AI31" s="8"/>
      <c r="AJ31" s="8"/>
      <c r="AK31" s="8"/>
      <c r="AL31" s="26" t="str">
        <f>IF(OR(N27="EFG",N27="FGH", N27="CDEFG",N27="DEFGH",N27="EFGHA",N27="FGHAB"),0,IF(N27="GHA",65,IF(N27="GHABC",55,"")))</f>
        <v/>
      </c>
      <c r="AM31" s="26">
        <f t="shared" si="0"/>
        <v>0</v>
      </c>
      <c r="AN31" s="26" t="str">
        <f>IF(OR(AE27="EFG",AE27="FGH", AE27="CDEFG",AE27="DEFGH",AE27="EFGHA",AE27="FGHAB"),0,IF(AE27="GHA",65,IF(AE27="GHABC",55,"")))</f>
        <v/>
      </c>
      <c r="AO31" s="26">
        <f t="shared" si="1"/>
        <v>0</v>
      </c>
      <c r="AP31" s="169" t="s">
        <v>133</v>
      </c>
      <c r="AQ31" s="170"/>
      <c r="AR31" s="26" t="str">
        <f t="shared" si="2"/>
        <v/>
      </c>
      <c r="AS31" s="26" t="str">
        <f t="shared" si="3"/>
        <v/>
      </c>
      <c r="AT31" s="7"/>
      <c r="AU31" s="7"/>
      <c r="AV31" s="7"/>
      <c r="AW31" s="7"/>
      <c r="AX31" s="7"/>
      <c r="AY31" s="7"/>
      <c r="AZ31" s="7"/>
      <c r="BA31" s="7"/>
      <c r="BB31" s="7"/>
      <c r="BC31" s="7"/>
      <c r="BD31" s="7"/>
      <c r="BE31" s="37"/>
      <c r="BF31" s="37"/>
      <c r="BG31" s="7"/>
      <c r="BH31" s="7"/>
      <c r="BI31" s="7"/>
      <c r="BJ31" s="37"/>
      <c r="BK31" s="7"/>
      <c r="BL31" s="7"/>
      <c r="BM31" s="7"/>
      <c r="BN31" s="37"/>
      <c r="BO31" s="7"/>
      <c r="BP31" s="7"/>
      <c r="BQ31" s="7"/>
      <c r="BR31" s="3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9"/>
      <c r="GM31" s="9"/>
      <c r="GN31" s="9"/>
      <c r="GO31" s="9"/>
      <c r="GP31" s="9"/>
      <c r="GQ31" s="9"/>
      <c r="GR31" s="9"/>
      <c r="GS31" s="9"/>
      <c r="GT31" s="9"/>
      <c r="GU31" s="9"/>
      <c r="GV31" s="9"/>
      <c r="GW31" s="9"/>
      <c r="GX31" s="9"/>
      <c r="GY31" s="9"/>
      <c r="GZ31" s="9"/>
      <c r="HA31" s="9"/>
      <c r="HB31" s="9"/>
      <c r="HC31" s="9"/>
      <c r="HD31" s="9"/>
      <c r="HE31" s="9"/>
      <c r="HF31" s="9"/>
    </row>
    <row r="32" spans="1:214" ht="18" customHeight="1" x14ac:dyDescent="0.3">
      <c r="B32" s="128" t="s">
        <v>134</v>
      </c>
      <c r="C32" s="128"/>
      <c r="D32" s="128"/>
      <c r="E32" s="128"/>
      <c r="F32" s="128"/>
      <c r="G32" s="128"/>
      <c r="H32" s="171"/>
      <c r="I32" s="172"/>
      <c r="J32" s="173"/>
      <c r="K32" s="187" t="str">
        <f>IF(AK23=1,55,IF(AL32&lt;&gt;"",AL32,IF(H32&gt;55,55,IF(H32="","",H32))))</f>
        <v/>
      </c>
      <c r="L32" s="187"/>
      <c r="M32" s="187"/>
      <c r="N32" s="177"/>
      <c r="O32" s="178"/>
      <c r="P32" s="178"/>
      <c r="Q32" s="179"/>
      <c r="R32" s="213"/>
      <c r="S32" s="128" t="s">
        <v>134</v>
      </c>
      <c r="T32" s="128"/>
      <c r="U32" s="128"/>
      <c r="V32" s="128"/>
      <c r="W32" s="128"/>
      <c r="X32" s="128"/>
      <c r="Y32" s="171"/>
      <c r="Z32" s="172"/>
      <c r="AA32" s="173"/>
      <c r="AB32" s="187" t="str">
        <f>IF(AL23=1,55,IF(AN32&lt;&gt;"",AN32,IF(Y32&gt;55,55,IF(Y32="","",Y32))))</f>
        <v/>
      </c>
      <c r="AC32" s="187"/>
      <c r="AD32" s="187"/>
      <c r="AE32" s="177"/>
      <c r="AF32" s="178"/>
      <c r="AG32" s="178"/>
      <c r="AH32" s="179"/>
      <c r="AI32" s="8"/>
      <c r="AJ32" s="8"/>
      <c r="AK32" s="8"/>
      <c r="AL32" s="26" t="str">
        <f>IF(OR(N27="FGH",N27="GHA", N27="DEFGH",N27="EFGHA",N27="FGHAB",N27="GHABC"),0,IF(N27="HAB",70,IF(N27="HABCD",52,"")))</f>
        <v/>
      </c>
      <c r="AM32" s="26">
        <f t="shared" si="0"/>
        <v>0</v>
      </c>
      <c r="AN32" s="26" t="str">
        <f>IF(OR(AE27="FGH",AE27="GHA", AE27="DEFGH",AE27="EFGHA",AE27="FGHAB",AE27="GHABC"),0,IF(AE27="HAB",70,IF(AE27="HABCD",52,"")))</f>
        <v/>
      </c>
      <c r="AO32" s="26">
        <f t="shared" si="1"/>
        <v>0</v>
      </c>
      <c r="AP32" s="26">
        <f>SUM(K25:K33)</f>
        <v>0</v>
      </c>
      <c r="AQ32" s="43">
        <f>SUM(AB25:AB33)</f>
        <v>0</v>
      </c>
      <c r="AR32" s="26" t="str">
        <f t="shared" si="2"/>
        <v/>
      </c>
      <c r="AS32" s="26" t="str">
        <f t="shared" si="3"/>
        <v/>
      </c>
      <c r="AT32" s="7"/>
      <c r="AU32" s="7"/>
      <c r="AV32" s="7"/>
      <c r="AW32" s="7"/>
      <c r="AX32" s="7"/>
      <c r="AY32" s="7"/>
      <c r="AZ32" s="7"/>
      <c r="BA32" s="7"/>
      <c r="BB32" s="7"/>
      <c r="BC32" s="7"/>
      <c r="BD32" s="7"/>
      <c r="BE32" s="37"/>
      <c r="BF32" s="37"/>
      <c r="BG32" s="7"/>
      <c r="BH32" s="7"/>
      <c r="BI32" s="7"/>
      <c r="BJ32" s="37"/>
      <c r="BK32" s="7"/>
      <c r="BL32" s="7"/>
      <c r="BM32" s="7"/>
      <c r="BN32" s="37"/>
      <c r="BO32" s="7"/>
      <c r="BP32" s="7"/>
      <c r="BQ32" s="7"/>
      <c r="BR32" s="3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9"/>
      <c r="GM32" s="9"/>
      <c r="GN32" s="9"/>
      <c r="GO32" s="9"/>
      <c r="GP32" s="9"/>
      <c r="GQ32" s="9"/>
      <c r="GR32" s="9"/>
      <c r="GS32" s="9"/>
      <c r="GT32" s="9"/>
      <c r="GU32" s="9"/>
      <c r="GV32" s="9"/>
      <c r="GW32" s="9"/>
      <c r="GX32" s="9"/>
      <c r="GY32" s="9"/>
      <c r="GZ32" s="9"/>
      <c r="HA32" s="9"/>
      <c r="HB32" s="9"/>
      <c r="HC32" s="9"/>
      <c r="HD32" s="9"/>
      <c r="HE32" s="9"/>
      <c r="HF32" s="9"/>
    </row>
    <row r="33" spans="2:214" ht="18" customHeight="1" x14ac:dyDescent="0.3">
      <c r="B33" s="113" t="s">
        <v>135</v>
      </c>
      <c r="C33" s="114"/>
      <c r="D33" s="114"/>
      <c r="E33" s="114"/>
      <c r="F33" s="114"/>
      <c r="G33" s="115"/>
      <c r="H33" s="171"/>
      <c r="I33" s="172"/>
      <c r="J33" s="173"/>
      <c r="K33" s="190" t="str">
        <f>IF(OR(H33="",H33=0),"",H33)</f>
        <v/>
      </c>
      <c r="L33" s="191"/>
      <c r="M33" s="192"/>
      <c r="N33" s="177"/>
      <c r="O33" s="178"/>
      <c r="P33" s="178"/>
      <c r="Q33" s="179"/>
      <c r="R33" s="213"/>
      <c r="S33" s="113" t="s">
        <v>135</v>
      </c>
      <c r="T33" s="114"/>
      <c r="U33" s="114"/>
      <c r="V33" s="114"/>
      <c r="W33" s="114"/>
      <c r="X33" s="115"/>
      <c r="Y33" s="171"/>
      <c r="Z33" s="172"/>
      <c r="AA33" s="173"/>
      <c r="AB33" s="190" t="str">
        <f>IF(OR(Y33="",Y33=0),"",Y33)</f>
        <v/>
      </c>
      <c r="AC33" s="191"/>
      <c r="AD33" s="192"/>
      <c r="AE33" s="177"/>
      <c r="AF33" s="178"/>
      <c r="AG33" s="178"/>
      <c r="AH33" s="179"/>
      <c r="AI33" s="8"/>
      <c r="AJ33" s="8"/>
      <c r="AK33" s="8"/>
      <c r="AL33" s="26"/>
      <c r="AM33" s="26">
        <f t="shared" si="0"/>
        <v>0</v>
      </c>
      <c r="AN33" s="26"/>
      <c r="AO33" s="26"/>
      <c r="AP33" s="7"/>
      <c r="AQ33" s="7"/>
      <c r="AR33" s="26">
        <f>SUM(AR25:AR32)</f>
        <v>0</v>
      </c>
      <c r="AS33" s="26">
        <f>SUM(AS25:AS32)</f>
        <v>0</v>
      </c>
      <c r="AT33" s="7"/>
      <c r="AU33" s="7"/>
      <c r="AV33" s="7"/>
      <c r="AW33" s="7"/>
      <c r="AX33" s="7"/>
      <c r="AY33" s="7"/>
      <c r="AZ33" s="7"/>
      <c r="BA33" s="7"/>
      <c r="BB33" s="7"/>
      <c r="BC33" s="7"/>
      <c r="BD33" s="7"/>
      <c r="BE33" s="37"/>
      <c r="BF33" s="37"/>
      <c r="BG33" s="7"/>
      <c r="BH33" s="7"/>
      <c r="BI33" s="7"/>
      <c r="BJ33" s="37"/>
      <c r="BK33" s="7"/>
      <c r="BL33" s="7"/>
      <c r="BM33" s="7"/>
      <c r="BN33" s="37"/>
      <c r="BO33" s="7"/>
      <c r="BP33" s="7"/>
      <c r="BQ33" s="7"/>
      <c r="BR33" s="3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9"/>
      <c r="GM33" s="9"/>
      <c r="GN33" s="9"/>
      <c r="GO33" s="9"/>
      <c r="GP33" s="9"/>
      <c r="GQ33" s="9"/>
      <c r="GR33" s="9"/>
      <c r="GS33" s="9"/>
      <c r="GT33" s="9"/>
      <c r="GU33" s="9"/>
      <c r="GV33" s="9"/>
      <c r="GW33" s="9"/>
      <c r="GX33" s="9"/>
      <c r="GY33" s="9"/>
      <c r="GZ33" s="9"/>
      <c r="HA33" s="9"/>
      <c r="HB33" s="9"/>
      <c r="HC33" s="9"/>
      <c r="HD33" s="9"/>
      <c r="HE33" s="9"/>
      <c r="HF33" s="9"/>
    </row>
    <row r="34" spans="2:214" ht="18" customHeight="1" x14ac:dyDescent="0.3">
      <c r="B34" s="181" t="s">
        <v>136</v>
      </c>
      <c r="C34" s="182"/>
      <c r="D34" s="182"/>
      <c r="E34" s="182"/>
      <c r="F34" s="182"/>
      <c r="G34" s="182"/>
      <c r="H34" s="182"/>
      <c r="I34" s="182"/>
      <c r="J34" s="183"/>
      <c r="K34" s="184" t="str">
        <f>IF(AND(K25="",K26="",K27="",K28="",K29="",K30="",K31="",K32="",K33=""),"",IF(AP32&lt;0,0,SUM(K25:K33)))</f>
        <v/>
      </c>
      <c r="L34" s="185"/>
      <c r="M34" s="186"/>
      <c r="N34" s="180"/>
      <c r="O34" s="209"/>
      <c r="P34" s="209"/>
      <c r="Q34" s="210"/>
      <c r="R34" s="213"/>
      <c r="S34" s="181" t="s">
        <v>136</v>
      </c>
      <c r="T34" s="182"/>
      <c r="U34" s="182"/>
      <c r="V34" s="182"/>
      <c r="W34" s="182"/>
      <c r="X34" s="182"/>
      <c r="Y34" s="182"/>
      <c r="Z34" s="182"/>
      <c r="AA34" s="183"/>
      <c r="AB34" s="184" t="str">
        <f>IF(AND(AB25="",AB26="",AB27="",AB28="",AB29="",AB30="",AB31="",AB32="",AB33=""),"",IF(AQ32&lt;0,0,SUM(AB25:AB33)))</f>
        <v/>
      </c>
      <c r="AC34" s="185"/>
      <c r="AD34" s="186"/>
      <c r="AE34" s="180"/>
      <c r="AF34" s="178"/>
      <c r="AG34" s="178"/>
      <c r="AH34" s="179"/>
      <c r="AI34" s="8"/>
      <c r="AJ34" s="8"/>
      <c r="AK34" s="8"/>
      <c r="AL34" s="13"/>
      <c r="AM34" s="26">
        <f>SUM(AM25:AM33)</f>
        <v>0</v>
      </c>
      <c r="AN34" s="13"/>
      <c r="AO34" s="26">
        <f>SUM(AO25:AO32)</f>
        <v>0</v>
      </c>
      <c r="AP34" s="7"/>
      <c r="AQ34" s="7"/>
      <c r="AR34" s="13">
        <f>IF(AND(AR33&gt;0,AR33&lt;8),1,0)</f>
        <v>0</v>
      </c>
      <c r="AS34" s="13">
        <f>IF(AND(AS33&gt;0,AS33&lt;8),1,0)</f>
        <v>0</v>
      </c>
      <c r="AT34" s="10" t="s">
        <v>137</v>
      </c>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row>
    <row r="35" spans="2:214" ht="18" customHeight="1" x14ac:dyDescent="0.3">
      <c r="B35" s="259" t="s">
        <v>138</v>
      </c>
      <c r="C35" s="260"/>
      <c r="D35" s="260"/>
      <c r="E35" s="260"/>
      <c r="F35" s="260"/>
      <c r="G35" s="260"/>
      <c r="H35" s="260"/>
      <c r="I35" s="260"/>
      <c r="J35" s="260"/>
      <c r="K35" s="260"/>
      <c r="L35" s="260"/>
      <c r="M35" s="260"/>
      <c r="N35" s="261"/>
      <c r="O35" s="255">
        <f>IF(AND(K33&lt;0,K34=0),"ERROR",IF(N28=AL35,"ERROR",AM23+AO23))</f>
        <v>0</v>
      </c>
      <c r="P35" s="256"/>
      <c r="Q35" s="257"/>
      <c r="R35" s="224"/>
      <c r="S35" s="259" t="s">
        <v>138</v>
      </c>
      <c r="T35" s="260"/>
      <c r="U35" s="260"/>
      <c r="V35" s="260"/>
      <c r="W35" s="260"/>
      <c r="X35" s="260"/>
      <c r="Y35" s="260"/>
      <c r="Z35" s="260"/>
      <c r="AA35" s="260"/>
      <c r="AB35" s="260"/>
      <c r="AC35" s="260"/>
      <c r="AD35" s="260"/>
      <c r="AE35" s="261"/>
      <c r="AF35" s="252">
        <f>IF(AND(AB33&lt;0,AB34=0),"ERROR",IF(AE28=AL35,"ERROR",AN23+AP23))</f>
        <v>0</v>
      </c>
      <c r="AG35" s="253"/>
      <c r="AH35" s="254"/>
      <c r="AI35" s="8"/>
      <c r="AJ35" s="8"/>
      <c r="AK35" s="8"/>
      <c r="AL35" s="88" t="s">
        <v>139</v>
      </c>
      <c r="AM35" s="95" t="s">
        <v>158</v>
      </c>
      <c r="AN35" s="95" t="s">
        <v>222</v>
      </c>
      <c r="AO35" s="38"/>
      <c r="AP35" s="34"/>
      <c r="AQ35" s="34"/>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row>
    <row r="36" spans="2:214" ht="3.75" customHeight="1" x14ac:dyDescent="0.3">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8"/>
      <c r="AJ36" s="8"/>
      <c r="AK36" s="8"/>
      <c r="AL36" s="8"/>
      <c r="AM36" s="39"/>
      <c r="AN36" s="39"/>
      <c r="AO36" s="38"/>
      <c r="AP36" s="34"/>
      <c r="AQ36" s="34"/>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row>
    <row r="37" spans="2:214" ht="3.75" customHeight="1" x14ac:dyDescent="0.3">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8"/>
      <c r="AJ37" s="8"/>
      <c r="AK37" s="8"/>
      <c r="AL37" s="8"/>
      <c r="AM37" s="39"/>
      <c r="AN37" s="39"/>
      <c r="AO37" s="38"/>
      <c r="AP37" s="34"/>
      <c r="AQ37" s="34"/>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row>
    <row r="38" spans="2:214" ht="30" customHeight="1" x14ac:dyDescent="0.3">
      <c r="B38" s="211" t="s">
        <v>1</v>
      </c>
      <c r="C38" s="211"/>
      <c r="D38" s="211"/>
      <c r="E38" s="211"/>
      <c r="F38" s="211"/>
      <c r="G38" s="211"/>
      <c r="H38" s="211"/>
      <c r="I38" s="211"/>
      <c r="J38" s="211"/>
      <c r="K38" s="211"/>
      <c r="L38" s="211"/>
      <c r="M38" s="211"/>
      <c r="N38" s="211"/>
      <c r="O38" s="211"/>
      <c r="P38" s="211"/>
      <c r="Q38" s="211"/>
      <c r="R38" s="46"/>
      <c r="S38" s="211" t="s">
        <v>2</v>
      </c>
      <c r="T38" s="211"/>
      <c r="U38" s="211"/>
      <c r="V38" s="211"/>
      <c r="W38" s="211"/>
      <c r="X38" s="211"/>
      <c r="Y38" s="211"/>
      <c r="Z38" s="211"/>
      <c r="AA38" s="211"/>
      <c r="AB38" s="211"/>
      <c r="AC38" s="211"/>
      <c r="AD38" s="211"/>
      <c r="AE38" s="211"/>
      <c r="AF38" s="211"/>
      <c r="AG38" s="211"/>
      <c r="AH38" s="211"/>
      <c r="AI38" s="8"/>
      <c r="AJ38" s="8"/>
      <c r="AK38" s="8"/>
      <c r="AL38" s="8"/>
      <c r="AM38" s="39"/>
      <c r="AN38" s="39"/>
      <c r="AO38" s="38"/>
      <c r="AP38" s="34"/>
      <c r="AQ38" s="34"/>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row>
    <row r="39" spans="2:214" ht="44.25" customHeight="1" x14ac:dyDescent="0.3">
      <c r="B39" s="237" t="s">
        <v>3</v>
      </c>
      <c r="C39" s="237"/>
      <c r="D39" s="237"/>
      <c r="E39" s="237"/>
      <c r="F39" s="237"/>
      <c r="G39" s="237"/>
      <c r="H39" s="237"/>
      <c r="I39" s="237"/>
      <c r="J39" s="237"/>
      <c r="K39" s="237"/>
      <c r="L39" s="237"/>
      <c r="M39" s="237"/>
      <c r="N39" s="237"/>
      <c r="O39" s="237"/>
      <c r="P39" s="237"/>
      <c r="Q39" s="237"/>
      <c r="R39" s="46"/>
      <c r="S39" s="237" t="s">
        <v>3</v>
      </c>
      <c r="T39" s="237"/>
      <c r="U39" s="237"/>
      <c r="V39" s="237"/>
      <c r="W39" s="237"/>
      <c r="X39" s="237"/>
      <c r="Y39" s="237"/>
      <c r="Z39" s="237"/>
      <c r="AA39" s="237"/>
      <c r="AB39" s="237"/>
      <c r="AC39" s="237"/>
      <c r="AD39" s="237"/>
      <c r="AE39" s="237"/>
      <c r="AF39" s="237"/>
      <c r="AG39" s="237"/>
      <c r="AH39" s="237"/>
      <c r="AI39" s="8"/>
      <c r="AJ39" s="8"/>
      <c r="AK39" s="8"/>
      <c r="AL39" s="8"/>
      <c r="AM39" s="8"/>
      <c r="AN39" s="8"/>
      <c r="AO39" s="7"/>
      <c r="AP39" s="7"/>
      <c r="AQ39" s="7"/>
      <c r="AR39" s="7"/>
      <c r="AS39" s="7"/>
      <c r="AT39" s="7"/>
      <c r="AU39" s="7"/>
      <c r="AV39" s="7"/>
      <c r="AW39" s="7"/>
      <c r="AX39" s="7"/>
      <c r="AY39" s="7"/>
      <c r="AZ39" s="7"/>
      <c r="BA39" s="7"/>
      <c r="BB39" s="7"/>
      <c r="BC39" s="7"/>
      <c r="BD39" s="7"/>
      <c r="BE39" s="37"/>
      <c r="BF39" s="37"/>
      <c r="BG39" s="7"/>
      <c r="BH39" s="7"/>
      <c r="BI39" s="7"/>
      <c r="BJ39" s="37"/>
      <c r="BK39" s="7"/>
      <c r="BL39" s="7"/>
      <c r="BM39" s="7"/>
      <c r="BN39" s="37"/>
      <c r="BO39" s="7"/>
      <c r="BP39" s="7"/>
      <c r="BQ39" s="7"/>
      <c r="BR39" s="3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9"/>
      <c r="GM39" s="9"/>
      <c r="GN39" s="9"/>
      <c r="GO39" s="9"/>
      <c r="GP39" s="9"/>
      <c r="GQ39" s="9"/>
      <c r="GR39" s="9"/>
      <c r="GS39" s="9"/>
      <c r="GT39" s="9"/>
      <c r="GU39" s="9"/>
      <c r="GV39" s="9"/>
      <c r="GW39" s="9"/>
      <c r="GX39" s="9"/>
      <c r="GY39" s="9"/>
      <c r="GZ39" s="9"/>
      <c r="HA39" s="9"/>
      <c r="HB39" s="9"/>
      <c r="HC39" s="9"/>
      <c r="HD39" s="9"/>
      <c r="HE39" s="9"/>
      <c r="HF39" s="9"/>
    </row>
    <row r="40" spans="2:214" ht="27" customHeight="1" x14ac:dyDescent="0.3">
      <c r="B40" s="223" t="s">
        <v>4</v>
      </c>
      <c r="C40" s="189"/>
      <c r="D40" s="189"/>
      <c r="E40" s="189"/>
      <c r="F40" s="223" t="s">
        <v>5</v>
      </c>
      <c r="G40" s="189"/>
      <c r="H40" s="189"/>
      <c r="I40" s="189"/>
      <c r="J40" s="189"/>
      <c r="K40" s="189"/>
      <c r="L40" s="189"/>
      <c r="M40" s="189"/>
      <c r="N40" s="189"/>
      <c r="O40" s="258"/>
      <c r="P40" s="258"/>
      <c r="Q40" s="258"/>
      <c r="R40" s="46"/>
      <c r="S40" s="205" t="s">
        <v>4</v>
      </c>
      <c r="T40" s="205"/>
      <c r="U40" s="205"/>
      <c r="V40" s="205"/>
      <c r="W40" s="205" t="s">
        <v>5</v>
      </c>
      <c r="X40" s="205"/>
      <c r="Y40" s="205"/>
      <c r="Z40" s="205"/>
      <c r="AA40" s="205"/>
      <c r="AB40" s="205"/>
      <c r="AC40" s="205"/>
      <c r="AD40" s="205"/>
      <c r="AE40" s="205"/>
      <c r="AF40" s="258"/>
      <c r="AG40" s="258"/>
      <c r="AH40" s="258"/>
      <c r="AI40" s="8"/>
      <c r="AJ40" s="8"/>
      <c r="AK40" s="8"/>
      <c r="AL40" s="89" t="s">
        <v>225</v>
      </c>
      <c r="AM40" s="8"/>
      <c r="AN40" s="8"/>
      <c r="AO40" s="7"/>
      <c r="AP40" s="7"/>
      <c r="AQ40" s="7"/>
      <c r="AR40" s="7"/>
      <c r="AS40" s="7"/>
      <c r="AT40" s="7"/>
      <c r="AU40" s="7"/>
      <c r="AV40" s="7"/>
      <c r="AW40" s="7"/>
      <c r="AX40" s="7"/>
      <c r="AY40" s="7"/>
      <c r="AZ40" s="7"/>
      <c r="BA40" s="7"/>
      <c r="BB40" s="7"/>
      <c r="BC40" s="7"/>
      <c r="BD40" s="7"/>
      <c r="BE40" s="37"/>
      <c r="BF40" s="37"/>
      <c r="BG40" s="7"/>
      <c r="BH40" s="7"/>
      <c r="BI40" s="7"/>
      <c r="BJ40" s="37"/>
      <c r="BK40" s="7"/>
      <c r="BL40" s="7"/>
      <c r="BM40" s="7"/>
      <c r="BN40" s="37"/>
      <c r="BO40" s="7"/>
      <c r="BP40" s="7"/>
      <c r="BQ40" s="7"/>
      <c r="BR40" s="3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9"/>
      <c r="GM40" s="9"/>
      <c r="GN40" s="9"/>
      <c r="GO40" s="9"/>
      <c r="GP40" s="9"/>
      <c r="GQ40" s="9"/>
      <c r="GR40" s="9"/>
      <c r="GS40" s="9"/>
      <c r="GT40" s="9"/>
      <c r="GU40" s="9"/>
      <c r="GV40" s="9"/>
      <c r="GW40" s="9"/>
      <c r="GX40" s="9"/>
      <c r="GY40" s="9"/>
      <c r="GZ40" s="9"/>
      <c r="HA40" s="9"/>
      <c r="HB40" s="9"/>
      <c r="HC40" s="9"/>
      <c r="HD40" s="9"/>
      <c r="HE40" s="9"/>
      <c r="HF40" s="9"/>
    </row>
    <row r="41" spans="2:214" ht="18" customHeight="1" x14ac:dyDescent="0.3">
      <c r="B41" s="128" t="s">
        <v>6</v>
      </c>
      <c r="C41" s="128"/>
      <c r="D41" s="128"/>
      <c r="E41" s="128"/>
      <c r="F41" s="155"/>
      <c r="G41" s="155"/>
      <c r="H41" s="155"/>
      <c r="I41" s="155"/>
      <c r="J41" s="155"/>
      <c r="K41" s="155"/>
      <c r="L41" s="155"/>
      <c r="M41" s="155"/>
      <c r="N41" s="156"/>
      <c r="O41" s="147">
        <f>IF(F41=AL41,1,0)</f>
        <v>0</v>
      </c>
      <c r="P41" s="147"/>
      <c r="Q41" s="147"/>
      <c r="R41" s="46"/>
      <c r="S41" s="128" t="s">
        <v>6</v>
      </c>
      <c r="T41" s="128"/>
      <c r="U41" s="128"/>
      <c r="V41" s="128"/>
      <c r="W41" s="155"/>
      <c r="X41" s="155"/>
      <c r="Y41" s="155"/>
      <c r="Z41" s="155"/>
      <c r="AA41" s="155"/>
      <c r="AB41" s="155"/>
      <c r="AC41" s="155"/>
      <c r="AD41" s="155"/>
      <c r="AE41" s="156"/>
      <c r="AF41" s="147">
        <f>IF(W41=AL41,1,0)</f>
        <v>0</v>
      </c>
      <c r="AG41" s="147"/>
      <c r="AH41" s="147"/>
      <c r="AI41" s="8"/>
      <c r="AJ41" s="8"/>
      <c r="AK41" s="8"/>
      <c r="AL41" s="88" t="s">
        <v>7</v>
      </c>
      <c r="AM41" s="8"/>
      <c r="AN41" s="8"/>
      <c r="AO41" s="7"/>
      <c r="AP41" s="7"/>
      <c r="AQ41" s="7"/>
      <c r="AR41" s="7"/>
      <c r="AS41" s="7"/>
      <c r="AT41" s="7"/>
      <c r="AU41" s="7"/>
      <c r="AV41" s="7"/>
      <c r="AW41" s="7"/>
      <c r="AX41" s="7"/>
      <c r="AY41" s="7"/>
      <c r="AZ41" s="7"/>
      <c r="BA41" s="7"/>
      <c r="BB41" s="7"/>
      <c r="BC41" s="7"/>
      <c r="BD41" s="7"/>
      <c r="BE41" s="37"/>
      <c r="BF41" s="37"/>
      <c r="BG41" s="7"/>
      <c r="BH41" s="7"/>
      <c r="BI41" s="7"/>
      <c r="BJ41" s="37"/>
      <c r="BK41" s="7"/>
      <c r="BL41" s="7"/>
      <c r="BM41" s="7"/>
      <c r="BN41" s="37"/>
      <c r="BO41" s="7"/>
      <c r="BP41" s="7"/>
      <c r="BQ41" s="7"/>
      <c r="BR41" s="3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9"/>
      <c r="GM41" s="9"/>
      <c r="GN41" s="9"/>
      <c r="GO41" s="9"/>
      <c r="GP41" s="9"/>
      <c r="GQ41" s="9"/>
      <c r="GR41" s="9"/>
      <c r="GS41" s="9"/>
      <c r="GT41" s="9"/>
      <c r="GU41" s="9"/>
      <c r="GV41" s="9"/>
      <c r="GW41" s="9"/>
      <c r="GX41" s="9"/>
      <c r="GY41" s="9"/>
      <c r="GZ41" s="9"/>
      <c r="HA41" s="9"/>
      <c r="HB41" s="9"/>
      <c r="HC41" s="9"/>
      <c r="HD41" s="9"/>
      <c r="HE41" s="9"/>
      <c r="HF41" s="9"/>
    </row>
    <row r="42" spans="2:214" ht="18" customHeight="1" x14ac:dyDescent="0.3">
      <c r="B42" s="128" t="s">
        <v>8</v>
      </c>
      <c r="C42" s="128"/>
      <c r="D42" s="128"/>
      <c r="E42" s="128"/>
      <c r="F42" s="155"/>
      <c r="G42" s="155"/>
      <c r="H42" s="155"/>
      <c r="I42" s="155"/>
      <c r="J42" s="155"/>
      <c r="K42" s="155"/>
      <c r="L42" s="155"/>
      <c r="M42" s="155"/>
      <c r="N42" s="156"/>
      <c r="O42" s="147">
        <f>IF(F42=AL42,0.5,IF(F42=AL43,0.3,0))</f>
        <v>0</v>
      </c>
      <c r="P42" s="147"/>
      <c r="Q42" s="147"/>
      <c r="R42" s="46"/>
      <c r="S42" s="128" t="s">
        <v>8</v>
      </c>
      <c r="T42" s="128"/>
      <c r="U42" s="128"/>
      <c r="V42" s="128"/>
      <c r="W42" s="155"/>
      <c r="X42" s="155"/>
      <c r="Y42" s="155"/>
      <c r="Z42" s="155"/>
      <c r="AA42" s="155"/>
      <c r="AB42" s="155"/>
      <c r="AC42" s="155"/>
      <c r="AD42" s="155"/>
      <c r="AE42" s="156"/>
      <c r="AF42" s="147">
        <f>IF(W42=AL42,0.5,IF(W42=AL43,0.3,0))</f>
        <v>0</v>
      </c>
      <c r="AG42" s="147"/>
      <c r="AH42" s="147"/>
      <c r="AI42" s="8"/>
      <c r="AJ42" s="8"/>
      <c r="AK42" s="8"/>
      <c r="AL42" s="88" t="s">
        <v>9</v>
      </c>
      <c r="AM42" s="8"/>
      <c r="AN42" s="8"/>
      <c r="AO42" s="7"/>
      <c r="AP42" s="7"/>
      <c r="AQ42" s="7"/>
      <c r="AR42" s="7"/>
      <c r="AS42" s="7"/>
      <c r="AT42" s="7"/>
      <c r="AU42" s="7"/>
      <c r="AV42" s="7"/>
      <c r="AW42" s="7"/>
      <c r="AX42" s="7"/>
      <c r="AY42" s="7"/>
      <c r="AZ42" s="7"/>
      <c r="BA42" s="7"/>
      <c r="BB42" s="7"/>
      <c r="BC42" s="7"/>
      <c r="BD42" s="7"/>
      <c r="BE42" s="37"/>
      <c r="BF42" s="37"/>
      <c r="BG42" s="7"/>
      <c r="BH42" s="7"/>
      <c r="BI42" s="7"/>
      <c r="BJ42" s="37"/>
      <c r="BK42" s="7"/>
      <c r="BL42" s="7"/>
      <c r="BM42" s="7"/>
      <c r="BN42" s="37"/>
      <c r="BO42" s="7"/>
      <c r="BP42" s="7"/>
      <c r="BQ42" s="7"/>
      <c r="BR42" s="3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9"/>
      <c r="GM42" s="9"/>
      <c r="GN42" s="9"/>
      <c r="GO42" s="9"/>
      <c r="GP42" s="9"/>
      <c r="GQ42" s="9"/>
      <c r="GR42" s="9"/>
      <c r="GS42" s="9"/>
      <c r="GT42" s="9"/>
      <c r="GU42" s="9"/>
      <c r="GV42" s="9"/>
      <c r="GW42" s="9"/>
      <c r="GX42" s="9"/>
      <c r="GY42" s="9"/>
      <c r="GZ42" s="9"/>
      <c r="HA42" s="9"/>
      <c r="HB42" s="9"/>
      <c r="HC42" s="9"/>
      <c r="HD42" s="9"/>
      <c r="HE42" s="9"/>
      <c r="HF42" s="9"/>
    </row>
    <row r="43" spans="2:214" ht="18" customHeight="1" x14ac:dyDescent="0.3">
      <c r="B43" s="128" t="s">
        <v>10</v>
      </c>
      <c r="C43" s="128"/>
      <c r="D43" s="128"/>
      <c r="E43" s="128"/>
      <c r="F43" s="155"/>
      <c r="G43" s="155"/>
      <c r="H43" s="155"/>
      <c r="I43" s="155"/>
      <c r="J43" s="155"/>
      <c r="K43" s="155"/>
      <c r="L43" s="155"/>
      <c r="M43" s="155"/>
      <c r="N43" s="156"/>
      <c r="O43" s="147">
        <f>IF(F43=AL42,0.2,IF(F43=AL43,0.1,0))</f>
        <v>0</v>
      </c>
      <c r="P43" s="147"/>
      <c r="Q43" s="147"/>
      <c r="R43" s="46"/>
      <c r="S43" s="128" t="s">
        <v>10</v>
      </c>
      <c r="T43" s="128"/>
      <c r="U43" s="128"/>
      <c r="V43" s="128"/>
      <c r="W43" s="155"/>
      <c r="X43" s="155"/>
      <c r="Y43" s="155"/>
      <c r="Z43" s="155"/>
      <c r="AA43" s="155"/>
      <c r="AB43" s="155"/>
      <c r="AC43" s="155"/>
      <c r="AD43" s="155"/>
      <c r="AE43" s="156"/>
      <c r="AF43" s="147">
        <f>IF(W43=AL42,0.2,IF(W43=AL43,0.1,0))</f>
        <v>0</v>
      </c>
      <c r="AG43" s="147"/>
      <c r="AH43" s="147"/>
      <c r="AI43" s="8"/>
      <c r="AJ43" s="8"/>
      <c r="AK43" s="8"/>
      <c r="AL43" s="88" t="s">
        <v>11</v>
      </c>
      <c r="AM43" s="8"/>
      <c r="AN43" s="8"/>
      <c r="AO43" s="7"/>
      <c r="AP43" s="7"/>
      <c r="AQ43" s="7"/>
      <c r="AR43" s="7"/>
      <c r="AS43" s="7"/>
      <c r="AT43" s="7"/>
      <c r="AU43" s="7"/>
      <c r="AV43" s="7"/>
      <c r="AW43" s="7"/>
      <c r="AX43" s="7"/>
      <c r="AY43" s="7"/>
      <c r="AZ43" s="7"/>
      <c r="BA43" s="7"/>
      <c r="BB43" s="7"/>
      <c r="BC43" s="7"/>
      <c r="BD43" s="7"/>
      <c r="BE43" s="37"/>
      <c r="BF43" s="37"/>
      <c r="BG43" s="7"/>
      <c r="BH43" s="7"/>
      <c r="BI43" s="7"/>
      <c r="BJ43" s="37"/>
      <c r="BK43" s="7"/>
      <c r="BL43" s="7"/>
      <c r="BM43" s="7"/>
      <c r="BN43" s="37"/>
      <c r="BO43" s="7"/>
      <c r="BP43" s="7"/>
      <c r="BQ43" s="7"/>
      <c r="BR43" s="3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9"/>
      <c r="GM43" s="9"/>
      <c r="GN43" s="9"/>
      <c r="GO43" s="9"/>
      <c r="GP43" s="9"/>
      <c r="GQ43" s="9"/>
      <c r="GR43" s="9"/>
      <c r="GS43" s="9"/>
      <c r="GT43" s="9"/>
      <c r="GU43" s="9"/>
      <c r="GV43" s="9"/>
      <c r="GW43" s="9"/>
      <c r="GX43" s="9"/>
      <c r="GY43" s="9"/>
      <c r="GZ43" s="9"/>
      <c r="HA43" s="9"/>
      <c r="HB43" s="9"/>
      <c r="HC43" s="9"/>
      <c r="HD43" s="9"/>
      <c r="HE43" s="9"/>
      <c r="HF43" s="9"/>
    </row>
    <row r="44" spans="2:214" ht="18" customHeight="1" x14ac:dyDescent="0.3">
      <c r="B44" s="128" t="s">
        <v>12</v>
      </c>
      <c r="C44" s="128"/>
      <c r="D44" s="128"/>
      <c r="E44" s="128"/>
      <c r="F44" s="155"/>
      <c r="G44" s="155"/>
      <c r="H44" s="155"/>
      <c r="I44" s="155"/>
      <c r="J44" s="155"/>
      <c r="K44" s="155"/>
      <c r="L44" s="155"/>
      <c r="M44" s="155"/>
      <c r="N44" s="156"/>
      <c r="O44" s="147">
        <f>IF(F44=AL42,0.2,IF(F44=AL43,0.1,0))</f>
        <v>0</v>
      </c>
      <c r="P44" s="147"/>
      <c r="Q44" s="147"/>
      <c r="R44" s="46"/>
      <c r="S44" s="128" t="s">
        <v>12</v>
      </c>
      <c r="T44" s="128"/>
      <c r="U44" s="128"/>
      <c r="V44" s="128"/>
      <c r="W44" s="155"/>
      <c r="X44" s="155"/>
      <c r="Y44" s="155"/>
      <c r="Z44" s="155"/>
      <c r="AA44" s="155"/>
      <c r="AB44" s="155"/>
      <c r="AC44" s="155"/>
      <c r="AD44" s="155"/>
      <c r="AE44" s="156"/>
      <c r="AF44" s="147">
        <f>IF(W44=AL42,0.2,IF(W44=AL43,0.1,0))</f>
        <v>0</v>
      </c>
      <c r="AG44" s="147"/>
      <c r="AH44" s="147"/>
      <c r="AI44" s="8"/>
      <c r="AJ44" s="8"/>
      <c r="AK44" s="8"/>
      <c r="AL44" s="88" t="s">
        <v>13</v>
      </c>
      <c r="AM44" s="8"/>
      <c r="AN44" s="8"/>
      <c r="AO44" s="7"/>
      <c r="AP44" s="7"/>
      <c r="AQ44" s="7"/>
      <c r="AR44" s="7"/>
      <c r="AS44" s="7"/>
      <c r="AT44" s="7"/>
      <c r="AU44" s="7"/>
      <c r="AV44" s="7"/>
      <c r="AW44" s="7"/>
      <c r="AX44" s="7"/>
      <c r="AY44" s="7"/>
      <c r="AZ44" s="7"/>
      <c r="BA44" s="7"/>
      <c r="BB44" s="7"/>
      <c r="BC44" s="7"/>
      <c r="BD44" s="7"/>
      <c r="BE44" s="37"/>
      <c r="BF44" s="37"/>
      <c r="BG44" s="7"/>
      <c r="BH44" s="7"/>
      <c r="BI44" s="7"/>
      <c r="BJ44" s="37"/>
      <c r="BK44" s="7"/>
      <c r="BL44" s="7"/>
      <c r="BM44" s="7"/>
      <c r="BN44" s="37"/>
      <c r="BO44" s="7"/>
      <c r="BP44" s="7"/>
      <c r="BQ44" s="7"/>
      <c r="BR44" s="3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9"/>
      <c r="GM44" s="9"/>
      <c r="GN44" s="9"/>
      <c r="GO44" s="9"/>
      <c r="GP44" s="9"/>
      <c r="GQ44" s="9"/>
      <c r="GR44" s="9"/>
      <c r="GS44" s="9"/>
      <c r="GT44" s="9"/>
      <c r="GU44" s="9"/>
      <c r="GV44" s="9"/>
      <c r="GW44" s="9"/>
      <c r="GX44" s="9"/>
      <c r="GY44" s="9"/>
      <c r="GZ44" s="9"/>
      <c r="HA44" s="9"/>
      <c r="HB44" s="9"/>
      <c r="HC44" s="9"/>
      <c r="HD44" s="9"/>
      <c r="HE44" s="9"/>
      <c r="HF44" s="9"/>
    </row>
    <row r="45" spans="2:214" ht="18" customHeight="1" x14ac:dyDescent="0.3">
      <c r="B45" s="128" t="s">
        <v>14</v>
      </c>
      <c r="C45" s="128"/>
      <c r="D45" s="128"/>
      <c r="E45" s="128"/>
      <c r="F45" s="155"/>
      <c r="G45" s="155"/>
      <c r="H45" s="155"/>
      <c r="I45" s="155"/>
      <c r="J45" s="155"/>
      <c r="K45" s="155"/>
      <c r="L45" s="155"/>
      <c r="M45" s="155"/>
      <c r="N45" s="156"/>
      <c r="O45" s="147">
        <f>IF(F45=AL42,0.2,IF(F45=AL43,0.1,0))</f>
        <v>0</v>
      </c>
      <c r="P45" s="147"/>
      <c r="Q45" s="147"/>
      <c r="R45" s="46"/>
      <c r="S45" s="128" t="s">
        <v>14</v>
      </c>
      <c r="T45" s="128"/>
      <c r="U45" s="128"/>
      <c r="V45" s="128"/>
      <c r="W45" s="155"/>
      <c r="X45" s="155"/>
      <c r="Y45" s="155"/>
      <c r="Z45" s="155"/>
      <c r="AA45" s="155"/>
      <c r="AB45" s="155"/>
      <c r="AC45" s="155"/>
      <c r="AD45" s="155"/>
      <c r="AE45" s="156"/>
      <c r="AF45" s="147">
        <f>IF(W45=AL42,0.2,IF(W45=AL43,0.1,0))</f>
        <v>0</v>
      </c>
      <c r="AG45" s="147"/>
      <c r="AH45" s="147"/>
      <c r="AI45" s="8"/>
      <c r="AJ45" s="8"/>
      <c r="AK45" s="8"/>
      <c r="AL45" s="8"/>
      <c r="AM45" s="8"/>
      <c r="AN45" s="8"/>
      <c r="AO45" s="7"/>
      <c r="AP45" s="7"/>
      <c r="AQ45" s="7"/>
      <c r="AR45" s="7"/>
      <c r="AS45" s="7"/>
      <c r="AT45" s="7"/>
      <c r="AU45" s="7"/>
      <c r="AV45" s="7"/>
      <c r="AW45" s="7"/>
      <c r="AX45" s="7"/>
      <c r="AY45" s="7"/>
      <c r="AZ45" s="7"/>
      <c r="BA45" s="7"/>
      <c r="BB45" s="7"/>
      <c r="BC45" s="7"/>
      <c r="BD45" s="7"/>
      <c r="BE45" s="37"/>
      <c r="BF45" s="37"/>
      <c r="BG45" s="7"/>
      <c r="BH45" s="7"/>
      <c r="BI45" s="7"/>
      <c r="BJ45" s="37"/>
      <c r="BK45" s="7"/>
      <c r="BL45" s="7"/>
      <c r="BM45" s="7"/>
      <c r="BN45" s="37"/>
      <c r="BO45" s="7"/>
      <c r="BP45" s="7"/>
      <c r="BQ45" s="7"/>
      <c r="BR45" s="3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9"/>
      <c r="GM45" s="9"/>
      <c r="GN45" s="9"/>
      <c r="GO45" s="9"/>
      <c r="GP45" s="9"/>
      <c r="GQ45" s="9"/>
      <c r="GR45" s="9"/>
      <c r="GS45" s="9"/>
      <c r="GT45" s="9"/>
      <c r="GU45" s="9"/>
      <c r="GV45" s="9"/>
      <c r="GW45" s="9"/>
      <c r="GX45" s="9"/>
      <c r="GY45" s="9"/>
      <c r="GZ45" s="9"/>
      <c r="HA45" s="9"/>
      <c r="HB45" s="9"/>
      <c r="HC45" s="9"/>
      <c r="HD45" s="9"/>
      <c r="HE45" s="9"/>
      <c r="HF45" s="9"/>
    </row>
    <row r="46" spans="2:214" ht="18" customHeight="1" x14ac:dyDescent="0.3">
      <c r="B46" s="128" t="s">
        <v>15</v>
      </c>
      <c r="C46" s="128"/>
      <c r="D46" s="128"/>
      <c r="E46" s="128"/>
      <c r="F46" s="155"/>
      <c r="G46" s="155"/>
      <c r="H46" s="155"/>
      <c r="I46" s="155"/>
      <c r="J46" s="155"/>
      <c r="K46" s="155"/>
      <c r="L46" s="155"/>
      <c r="M46" s="155"/>
      <c r="N46" s="156"/>
      <c r="O46" s="147">
        <f>IF(F46=AL42,0.2,IF(F46=AL43,0.1,0))</f>
        <v>0</v>
      </c>
      <c r="P46" s="147"/>
      <c r="Q46" s="147"/>
      <c r="R46" s="46"/>
      <c r="S46" s="128" t="s">
        <v>15</v>
      </c>
      <c r="T46" s="128"/>
      <c r="U46" s="128"/>
      <c r="V46" s="128"/>
      <c r="W46" s="155"/>
      <c r="X46" s="155"/>
      <c r="Y46" s="155"/>
      <c r="Z46" s="155"/>
      <c r="AA46" s="155"/>
      <c r="AB46" s="155"/>
      <c r="AC46" s="155"/>
      <c r="AD46" s="155"/>
      <c r="AE46" s="156"/>
      <c r="AF46" s="147">
        <f>IF(W46=AL42,0.2,IF(W46=AL43,0.1,0))</f>
        <v>0</v>
      </c>
      <c r="AG46" s="147"/>
      <c r="AH46" s="147"/>
      <c r="AI46" s="8"/>
      <c r="AJ46" s="8"/>
      <c r="AK46" s="8"/>
      <c r="AL46" s="8"/>
      <c r="AM46" s="8"/>
      <c r="AN46" s="8"/>
      <c r="AO46" s="7"/>
      <c r="AP46" s="7"/>
      <c r="AQ46" s="7"/>
      <c r="AR46" s="7"/>
      <c r="AS46" s="7"/>
      <c r="AT46" s="7"/>
      <c r="AU46" s="7"/>
      <c r="AV46" s="7"/>
      <c r="AW46" s="7"/>
      <c r="AX46" s="7"/>
      <c r="AY46" s="7"/>
      <c r="AZ46" s="7"/>
      <c r="BA46" s="7"/>
      <c r="BB46" s="7"/>
      <c r="BC46" s="7"/>
      <c r="BD46" s="7"/>
      <c r="BE46" s="37"/>
      <c r="BF46" s="37"/>
      <c r="BG46" s="7"/>
      <c r="BH46" s="7"/>
      <c r="BI46" s="7"/>
      <c r="BJ46" s="37"/>
      <c r="BK46" s="7"/>
      <c r="BL46" s="7"/>
      <c r="BM46" s="7"/>
      <c r="BN46" s="37"/>
      <c r="BO46" s="7"/>
      <c r="BP46" s="7"/>
      <c r="BQ46" s="7"/>
      <c r="BR46" s="3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9"/>
      <c r="GM46" s="9"/>
      <c r="GN46" s="9"/>
      <c r="GO46" s="9"/>
      <c r="GP46" s="9"/>
      <c r="GQ46" s="9"/>
      <c r="GR46" s="9"/>
      <c r="GS46" s="9"/>
      <c r="GT46" s="9"/>
      <c r="GU46" s="9"/>
      <c r="GV46" s="9"/>
      <c r="GW46" s="9"/>
      <c r="GX46" s="9"/>
      <c r="GY46" s="9"/>
      <c r="GZ46" s="9"/>
      <c r="HA46" s="9"/>
      <c r="HB46" s="9"/>
      <c r="HC46" s="9"/>
      <c r="HD46" s="9"/>
      <c r="HE46" s="9"/>
      <c r="HF46" s="9"/>
    </row>
    <row r="47" spans="2:214" ht="18" customHeight="1" x14ac:dyDescent="0.3">
      <c r="B47" s="128" t="s">
        <v>16</v>
      </c>
      <c r="C47" s="128"/>
      <c r="D47" s="128"/>
      <c r="E47" s="128"/>
      <c r="F47" s="155"/>
      <c r="G47" s="155"/>
      <c r="H47" s="155"/>
      <c r="I47" s="155"/>
      <c r="J47" s="155"/>
      <c r="K47" s="155"/>
      <c r="L47" s="155"/>
      <c r="M47" s="155"/>
      <c r="N47" s="156"/>
      <c r="O47" s="147">
        <f>IF(F47=AL44,0.1,0)</f>
        <v>0</v>
      </c>
      <c r="P47" s="147"/>
      <c r="Q47" s="147"/>
      <c r="R47" s="46"/>
      <c r="S47" s="128" t="s">
        <v>16</v>
      </c>
      <c r="T47" s="128"/>
      <c r="U47" s="128"/>
      <c r="V47" s="128"/>
      <c r="W47" s="155"/>
      <c r="X47" s="155"/>
      <c r="Y47" s="155"/>
      <c r="Z47" s="155"/>
      <c r="AA47" s="155"/>
      <c r="AB47" s="155"/>
      <c r="AC47" s="155"/>
      <c r="AD47" s="155"/>
      <c r="AE47" s="156"/>
      <c r="AF47" s="147">
        <f>IF(W47=AL44,0.1,0)</f>
        <v>0</v>
      </c>
      <c r="AG47" s="147"/>
      <c r="AH47" s="147"/>
      <c r="AI47" s="8"/>
      <c r="AJ47" s="8"/>
      <c r="AK47" s="8"/>
      <c r="AL47" s="8"/>
      <c r="AM47" s="8"/>
      <c r="AN47" s="39"/>
      <c r="AO47" s="38"/>
      <c r="AP47" s="34"/>
      <c r="AQ47" s="34"/>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row>
    <row r="48" spans="2:214" ht="18" customHeight="1" x14ac:dyDescent="0.3">
      <c r="B48" s="128" t="s">
        <v>17</v>
      </c>
      <c r="C48" s="128"/>
      <c r="D48" s="128"/>
      <c r="E48" s="128"/>
      <c r="F48" s="155"/>
      <c r="G48" s="155"/>
      <c r="H48" s="155"/>
      <c r="I48" s="155"/>
      <c r="J48" s="155"/>
      <c r="K48" s="155"/>
      <c r="L48" s="155"/>
      <c r="M48" s="155"/>
      <c r="N48" s="156"/>
      <c r="O48" s="147">
        <f>IF(F48=AL44,0.1,0)</f>
        <v>0</v>
      </c>
      <c r="P48" s="147"/>
      <c r="Q48" s="147"/>
      <c r="R48" s="46"/>
      <c r="S48" s="128" t="s">
        <v>17</v>
      </c>
      <c r="T48" s="128"/>
      <c r="U48" s="128"/>
      <c r="V48" s="128"/>
      <c r="W48" s="155"/>
      <c r="X48" s="155"/>
      <c r="Y48" s="155"/>
      <c r="Z48" s="155"/>
      <c r="AA48" s="155"/>
      <c r="AB48" s="155"/>
      <c r="AC48" s="155"/>
      <c r="AD48" s="155"/>
      <c r="AE48" s="156"/>
      <c r="AF48" s="147">
        <f>IF(W48=AL44,0.1,0)</f>
        <v>0</v>
      </c>
      <c r="AG48" s="147"/>
      <c r="AH48" s="147"/>
      <c r="AI48" s="8"/>
      <c r="AJ48" s="8"/>
      <c r="AK48" s="8"/>
      <c r="AL48" s="8"/>
      <c r="AM48" s="39"/>
      <c r="AN48" s="39"/>
      <c r="AO48" s="38"/>
      <c r="AP48" s="34"/>
      <c r="AQ48" s="34"/>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row>
    <row r="49" spans="1:193" ht="18" customHeight="1" x14ac:dyDescent="0.3">
      <c r="B49" s="128" t="s">
        <v>18</v>
      </c>
      <c r="C49" s="128"/>
      <c r="D49" s="128"/>
      <c r="E49" s="128"/>
      <c r="F49" s="155"/>
      <c r="G49" s="155"/>
      <c r="H49" s="155"/>
      <c r="I49" s="155"/>
      <c r="J49" s="155"/>
      <c r="K49" s="155"/>
      <c r="L49" s="155"/>
      <c r="M49" s="155"/>
      <c r="N49" s="155"/>
      <c r="O49" s="147">
        <f>IF(F49=AL44,0.1,0)</f>
        <v>0</v>
      </c>
      <c r="P49" s="147"/>
      <c r="Q49" s="147"/>
      <c r="R49" s="46"/>
      <c r="S49" s="128" t="s">
        <v>18</v>
      </c>
      <c r="T49" s="128"/>
      <c r="U49" s="128"/>
      <c r="V49" s="128"/>
      <c r="W49" s="155"/>
      <c r="X49" s="155"/>
      <c r="Y49" s="155"/>
      <c r="Z49" s="155"/>
      <c r="AA49" s="155"/>
      <c r="AB49" s="155"/>
      <c r="AC49" s="155"/>
      <c r="AD49" s="155"/>
      <c r="AE49" s="155"/>
      <c r="AF49" s="147">
        <f>IF(W49=AL44,0.1,0)</f>
        <v>0</v>
      </c>
      <c r="AG49" s="147"/>
      <c r="AH49" s="147"/>
      <c r="AI49" s="8"/>
      <c r="AJ49" s="8"/>
      <c r="AK49" s="8"/>
      <c r="AL49" s="8"/>
      <c r="AM49" s="39"/>
      <c r="AN49" s="39"/>
      <c r="AO49" s="38"/>
      <c r="AP49" s="34"/>
      <c r="AQ49" s="34"/>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row>
    <row r="50" spans="1:193" ht="18" customHeight="1" x14ac:dyDescent="0.3">
      <c r="B50" s="146" t="s">
        <v>74</v>
      </c>
      <c r="C50" s="146"/>
      <c r="D50" s="146"/>
      <c r="E50" s="146"/>
      <c r="F50" s="146"/>
      <c r="G50" s="146"/>
      <c r="H50" s="146"/>
      <c r="I50" s="146"/>
      <c r="J50" s="146"/>
      <c r="K50" s="146"/>
      <c r="L50" s="146"/>
      <c r="M50" s="146"/>
      <c r="N50" s="146"/>
      <c r="O50" s="147">
        <f>IF(SUM(O41:O49)&gt;1,1,SUM(O41:O49))</f>
        <v>0</v>
      </c>
      <c r="P50" s="147"/>
      <c r="Q50" s="147"/>
      <c r="R50" s="46"/>
      <c r="S50" s="146" t="s">
        <v>75</v>
      </c>
      <c r="T50" s="146"/>
      <c r="U50" s="146"/>
      <c r="V50" s="146"/>
      <c r="W50" s="146"/>
      <c r="X50" s="146"/>
      <c r="Y50" s="146"/>
      <c r="Z50" s="146"/>
      <c r="AA50" s="146"/>
      <c r="AB50" s="146"/>
      <c r="AC50" s="146"/>
      <c r="AD50" s="146"/>
      <c r="AE50" s="146"/>
      <c r="AF50" s="147">
        <f>IF(SUM(AF41:AF49)&gt;1,1,SUM(AF41:AF49))</f>
        <v>0</v>
      </c>
      <c r="AG50" s="147"/>
      <c r="AH50" s="147"/>
      <c r="AI50" s="8"/>
      <c r="AJ50" s="8"/>
      <c r="AK50" s="8"/>
      <c r="AL50" s="8"/>
      <c r="AM50" s="39"/>
      <c r="AN50" s="39"/>
      <c r="AO50" s="38"/>
      <c r="AP50" s="34"/>
      <c r="AQ50" s="34"/>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row>
    <row r="51" spans="1:193" ht="12" customHeight="1" x14ac:dyDescent="0.3">
      <c r="B51" s="188"/>
      <c r="C51" s="188"/>
      <c r="D51" s="188"/>
      <c r="E51" s="188"/>
      <c r="F51" s="188"/>
      <c r="G51" s="188"/>
      <c r="H51" s="188"/>
      <c r="I51" s="188"/>
      <c r="J51" s="188"/>
      <c r="K51" s="188"/>
      <c r="L51" s="188"/>
      <c r="M51" s="188"/>
      <c r="N51" s="188"/>
      <c r="O51" s="188"/>
      <c r="P51" s="188"/>
      <c r="Q51" s="188"/>
      <c r="R51" s="46"/>
      <c r="S51" s="189"/>
      <c r="T51" s="189"/>
      <c r="U51" s="189"/>
      <c r="V51" s="189"/>
      <c r="W51" s="189"/>
      <c r="X51" s="189"/>
      <c r="Y51" s="189"/>
      <c r="Z51" s="189"/>
      <c r="AA51" s="189"/>
      <c r="AB51" s="189"/>
      <c r="AC51" s="189"/>
      <c r="AD51" s="189"/>
      <c r="AE51" s="189"/>
      <c r="AF51" s="189"/>
      <c r="AG51" s="189"/>
      <c r="AH51" s="189"/>
      <c r="AI51" s="8"/>
      <c r="AJ51" s="8"/>
      <c r="AK51" s="8"/>
      <c r="AL51" s="8"/>
      <c r="AM51" s="39"/>
      <c r="AN51" s="75"/>
      <c r="AO51" s="38"/>
      <c r="AP51" s="34"/>
      <c r="AQ51" s="34"/>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row>
    <row r="52" spans="1:193" ht="18" customHeight="1" x14ac:dyDescent="0.3">
      <c r="B52" s="211" t="s">
        <v>76</v>
      </c>
      <c r="C52" s="211"/>
      <c r="D52" s="211"/>
      <c r="E52" s="211"/>
      <c r="F52" s="211"/>
      <c r="G52" s="211"/>
      <c r="H52" s="211"/>
      <c r="I52" s="211"/>
      <c r="J52" s="211"/>
      <c r="K52" s="211"/>
      <c r="L52" s="211"/>
      <c r="M52" s="211"/>
      <c r="N52" s="211"/>
      <c r="O52" s="211"/>
      <c r="P52" s="211"/>
      <c r="Q52" s="211"/>
      <c r="R52" s="53"/>
      <c r="S52" s="211" t="s">
        <v>77</v>
      </c>
      <c r="T52" s="211"/>
      <c r="U52" s="211"/>
      <c r="V52" s="211"/>
      <c r="W52" s="211"/>
      <c r="X52" s="211"/>
      <c r="Y52" s="211"/>
      <c r="Z52" s="211"/>
      <c r="AA52" s="211"/>
      <c r="AB52" s="211"/>
      <c r="AC52" s="211"/>
      <c r="AD52" s="211"/>
      <c r="AE52" s="211"/>
      <c r="AF52" s="211"/>
      <c r="AG52" s="211"/>
      <c r="AH52" s="211"/>
      <c r="AI52" s="8"/>
      <c r="AJ52" s="8"/>
      <c r="AK52" s="8"/>
      <c r="AL52" s="8"/>
      <c r="AM52" s="39"/>
      <c r="AN52" s="39"/>
      <c r="AO52" s="38"/>
      <c r="AP52" s="34"/>
      <c r="AQ52" s="34"/>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row>
    <row r="53" spans="1:193" ht="42" customHeight="1" x14ac:dyDescent="0.3">
      <c r="B53" s="248" t="s">
        <v>186</v>
      </c>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50"/>
      <c r="AI53" s="8"/>
      <c r="AJ53" s="8"/>
      <c r="AK53" s="8"/>
      <c r="AL53" s="8"/>
      <c r="AM53" s="39"/>
      <c r="AN53" s="39"/>
      <c r="AO53" s="38"/>
      <c r="AP53" s="34"/>
      <c r="AQ53" s="34"/>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row>
    <row r="54" spans="1:193" ht="18" customHeight="1" x14ac:dyDescent="0.3">
      <c r="B54" s="160" t="s">
        <v>169</v>
      </c>
      <c r="C54" s="160"/>
      <c r="D54" s="160"/>
      <c r="E54" s="160"/>
      <c r="F54" s="160"/>
      <c r="G54" s="160"/>
      <c r="H54" s="160"/>
      <c r="I54" s="160"/>
      <c r="J54" s="160"/>
      <c r="K54" s="160"/>
      <c r="L54" s="201"/>
      <c r="M54" s="201"/>
      <c r="N54" s="201"/>
      <c r="O54" s="147">
        <f>IF(L54="",0,IF(L54="None",0,IF(L54="Moderate",0.05,IF(L54="Severe",0.1,""))))</f>
        <v>0</v>
      </c>
      <c r="P54" s="147"/>
      <c r="Q54" s="147"/>
      <c r="R54" s="46"/>
      <c r="S54" s="160" t="s">
        <v>169</v>
      </c>
      <c r="T54" s="160"/>
      <c r="U54" s="160"/>
      <c r="V54" s="160"/>
      <c r="W54" s="160"/>
      <c r="X54" s="160"/>
      <c r="Y54" s="160"/>
      <c r="Z54" s="160"/>
      <c r="AA54" s="160"/>
      <c r="AB54" s="160"/>
      <c r="AC54" s="201"/>
      <c r="AD54" s="201"/>
      <c r="AE54" s="201"/>
      <c r="AF54" s="147">
        <f>IF(AC54="",0,IF(AC54="None",0,IF(AC54="Moderate",0.05,IF(AC54="Severe",0.1,""))))</f>
        <v>0</v>
      </c>
      <c r="AG54" s="147"/>
      <c r="AH54" s="147"/>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row>
    <row r="55" spans="1:193" ht="18" customHeight="1" x14ac:dyDescent="0.3">
      <c r="B55" s="128" t="s">
        <v>78</v>
      </c>
      <c r="C55" s="128"/>
      <c r="D55" s="128"/>
      <c r="E55" s="128"/>
      <c r="F55" s="128"/>
      <c r="G55" s="128"/>
      <c r="H55" s="128"/>
      <c r="I55" s="128"/>
      <c r="J55" s="128"/>
      <c r="K55" s="128"/>
      <c r="L55" s="201"/>
      <c r="M55" s="201"/>
      <c r="N55" s="201"/>
      <c r="O55" s="147">
        <f>IF(L55="",0,IF(L55="None",0,IF(L55="Moderate",0.05,IF(L55="Severe",0.1,""))))</f>
        <v>0</v>
      </c>
      <c r="P55" s="147"/>
      <c r="Q55" s="147"/>
      <c r="R55" s="46"/>
      <c r="S55" s="128" t="s">
        <v>78</v>
      </c>
      <c r="T55" s="128"/>
      <c r="U55" s="128"/>
      <c r="V55" s="128"/>
      <c r="W55" s="128"/>
      <c r="X55" s="128"/>
      <c r="Y55" s="128"/>
      <c r="Z55" s="128"/>
      <c r="AA55" s="128"/>
      <c r="AB55" s="128"/>
      <c r="AC55" s="201"/>
      <c r="AD55" s="201"/>
      <c r="AE55" s="201"/>
      <c r="AF55" s="147">
        <f>IF(AC55="",0,IF(AC55="None",0,IF(AC55="Moderate",0.05,IF(AC55="Severe",0.1,""))))</f>
        <v>0</v>
      </c>
      <c r="AG55" s="147"/>
      <c r="AH55" s="147"/>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row>
    <row r="56" spans="1:193" ht="18" customHeight="1" x14ac:dyDescent="0.3">
      <c r="B56" s="128" t="s">
        <v>151</v>
      </c>
      <c r="C56" s="128"/>
      <c r="D56" s="128"/>
      <c r="E56" s="128"/>
      <c r="F56" s="128"/>
      <c r="G56" s="128"/>
      <c r="H56" s="128"/>
      <c r="I56" s="128"/>
      <c r="J56" s="128"/>
      <c r="K56" s="128"/>
      <c r="L56" s="201"/>
      <c r="M56" s="201"/>
      <c r="N56" s="201"/>
      <c r="O56" s="147">
        <f>IF(L56="",0,IF(L56="None",0,IF(L56="Moderate",0.05,IF(L56="Severe",0.1,""))))</f>
        <v>0</v>
      </c>
      <c r="P56" s="147"/>
      <c r="Q56" s="147"/>
      <c r="R56" s="46"/>
      <c r="S56" s="128" t="s">
        <v>151</v>
      </c>
      <c r="T56" s="128"/>
      <c r="U56" s="128"/>
      <c r="V56" s="128"/>
      <c r="W56" s="128"/>
      <c r="X56" s="128"/>
      <c r="Y56" s="128"/>
      <c r="Z56" s="128"/>
      <c r="AA56" s="128"/>
      <c r="AB56" s="128"/>
      <c r="AC56" s="201"/>
      <c r="AD56" s="201"/>
      <c r="AE56" s="201"/>
      <c r="AF56" s="147">
        <f>IF(AC56="",0,IF(AC56="None",0,IF(AC56="Moderate",0.05,IF(AC56="Severe",0.1,""))))</f>
        <v>0</v>
      </c>
      <c r="AG56" s="147"/>
      <c r="AH56" s="147"/>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row>
    <row r="57" spans="1:193" ht="6" customHeight="1" x14ac:dyDescent="0.3">
      <c r="B57" s="306"/>
      <c r="C57" s="188"/>
      <c r="D57" s="188"/>
      <c r="E57" s="188"/>
      <c r="F57" s="188"/>
      <c r="G57" s="188"/>
      <c r="H57" s="188"/>
      <c r="I57" s="188"/>
      <c r="J57" s="188"/>
      <c r="K57" s="188"/>
      <c r="L57" s="188"/>
      <c r="M57" s="188"/>
      <c r="N57" s="188"/>
      <c r="O57" s="188"/>
      <c r="P57" s="188"/>
      <c r="Q57" s="188"/>
      <c r="R57" s="46"/>
      <c r="S57" s="188"/>
      <c r="T57" s="188"/>
      <c r="U57" s="188"/>
      <c r="V57" s="188"/>
      <c r="W57" s="188"/>
      <c r="X57" s="188"/>
      <c r="Y57" s="188"/>
      <c r="Z57" s="188"/>
      <c r="AA57" s="188"/>
      <c r="AB57" s="188"/>
      <c r="AC57" s="188"/>
      <c r="AD57" s="188"/>
      <c r="AE57" s="188"/>
      <c r="AF57" s="188"/>
      <c r="AG57" s="188"/>
      <c r="AH57" s="266"/>
      <c r="AI57" s="8"/>
      <c r="AJ57" s="8"/>
      <c r="AK57" s="8"/>
      <c r="AL57" s="8"/>
      <c r="AM57" s="8"/>
      <c r="AN57" s="8"/>
      <c r="AO57" s="8"/>
      <c r="AP57" s="8"/>
      <c r="AQ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row>
    <row r="58" spans="1:193" ht="18" customHeight="1" x14ac:dyDescent="0.3">
      <c r="A58" s="3"/>
      <c r="B58" s="113" t="s">
        <v>223</v>
      </c>
      <c r="C58" s="114"/>
      <c r="D58" s="114"/>
      <c r="E58" s="114"/>
      <c r="F58" s="114"/>
      <c r="G58" s="114"/>
      <c r="H58" s="114"/>
      <c r="I58" s="114"/>
      <c r="J58" s="114"/>
      <c r="K58" s="115"/>
      <c r="L58" s="202"/>
      <c r="M58" s="202"/>
      <c r="N58" s="202"/>
      <c r="O58" s="147">
        <f>IF(AL58=TRUE,1,0)</f>
        <v>0</v>
      </c>
      <c r="P58" s="147"/>
      <c r="Q58" s="147"/>
      <c r="R58" s="50"/>
      <c r="S58" s="113" t="s">
        <v>223</v>
      </c>
      <c r="T58" s="114"/>
      <c r="U58" s="114"/>
      <c r="V58" s="114"/>
      <c r="W58" s="114"/>
      <c r="X58" s="114"/>
      <c r="Y58" s="114"/>
      <c r="Z58" s="114"/>
      <c r="AA58" s="114"/>
      <c r="AB58" s="115"/>
      <c r="AC58" s="202"/>
      <c r="AD58" s="202"/>
      <c r="AE58" s="202"/>
      <c r="AF58" s="147">
        <f>IF(AM58=TRUE,1,0)</f>
        <v>0</v>
      </c>
      <c r="AG58" s="147"/>
      <c r="AH58" s="147"/>
      <c r="AI58" s="8"/>
      <c r="AJ58" s="8"/>
      <c r="AK58" s="8"/>
      <c r="AL58" s="93" t="b">
        <v>0</v>
      </c>
      <c r="AM58" s="93" t="b">
        <v>0</v>
      </c>
      <c r="AN58" s="8"/>
      <c r="AO58" s="8"/>
      <c r="AP58" s="8"/>
      <c r="AQ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row>
    <row r="59" spans="1:193" ht="12" customHeight="1" x14ac:dyDescent="0.3">
      <c r="B59" s="2"/>
      <c r="C59" s="2"/>
      <c r="D59" s="2"/>
      <c r="E59" s="2"/>
      <c r="F59" s="2"/>
      <c r="G59" s="2"/>
      <c r="H59" s="2"/>
      <c r="I59" s="2"/>
      <c r="J59" s="2"/>
      <c r="K59" s="2"/>
      <c r="L59" s="2"/>
      <c r="M59" s="2"/>
      <c r="N59" s="2"/>
      <c r="O59" s="2"/>
      <c r="P59" s="2"/>
      <c r="Q59" s="2"/>
      <c r="R59" s="46"/>
      <c r="S59" s="2"/>
      <c r="T59" s="2"/>
      <c r="U59" s="2"/>
      <c r="V59" s="2"/>
      <c r="W59" s="2"/>
      <c r="X59" s="2"/>
      <c r="Y59" s="2"/>
      <c r="Z59" s="2"/>
      <c r="AA59" s="2"/>
      <c r="AB59" s="2"/>
      <c r="AC59" s="2"/>
      <c r="AD59" s="2"/>
      <c r="AE59" s="2"/>
      <c r="AF59" s="2"/>
      <c r="AG59" s="2"/>
      <c r="AH59" s="2"/>
      <c r="AI59" s="8"/>
      <c r="AJ59" s="8"/>
      <c r="AK59" s="8"/>
      <c r="AL59" s="8"/>
      <c r="AM59" s="8"/>
      <c r="AN59" s="8"/>
      <c r="AO59" s="8"/>
      <c r="AP59" s="8"/>
      <c r="AQ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row>
    <row r="60" spans="1:193" ht="18" customHeight="1" x14ac:dyDescent="0.3">
      <c r="B60" s="168" t="s">
        <v>152</v>
      </c>
      <c r="C60" s="168"/>
      <c r="D60" s="168"/>
      <c r="E60" s="168"/>
      <c r="F60" s="168"/>
      <c r="G60" s="168"/>
      <c r="H60" s="168"/>
      <c r="I60" s="168"/>
      <c r="J60" s="168"/>
      <c r="K60" s="168"/>
      <c r="L60" s="168"/>
      <c r="M60" s="168"/>
      <c r="N60" s="168"/>
      <c r="O60" s="168"/>
      <c r="P60" s="168"/>
      <c r="Q60" s="168"/>
      <c r="R60" s="53"/>
      <c r="S60" s="168" t="s">
        <v>153</v>
      </c>
      <c r="T60" s="168"/>
      <c r="U60" s="168"/>
      <c r="V60" s="168"/>
      <c r="W60" s="168"/>
      <c r="X60" s="168"/>
      <c r="Y60" s="168"/>
      <c r="Z60" s="168"/>
      <c r="AA60" s="168"/>
      <c r="AB60" s="168"/>
      <c r="AC60" s="168"/>
      <c r="AD60" s="168"/>
      <c r="AE60" s="168"/>
      <c r="AF60" s="168"/>
      <c r="AG60" s="168"/>
      <c r="AH60" s="168"/>
      <c r="AI60" s="8"/>
      <c r="AJ60" s="8"/>
      <c r="AK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row>
    <row r="61" spans="1:193" ht="27" customHeight="1" x14ac:dyDescent="0.3">
      <c r="B61" s="198"/>
      <c r="C61" s="199"/>
      <c r="D61" s="199"/>
      <c r="E61" s="199"/>
      <c r="F61" s="199"/>
      <c r="G61" s="199"/>
      <c r="H61" s="199"/>
      <c r="I61" s="199"/>
      <c r="J61" s="199"/>
      <c r="K61" s="200"/>
      <c r="L61" s="181" t="s">
        <v>71</v>
      </c>
      <c r="M61" s="182"/>
      <c r="N61" s="182"/>
      <c r="O61" s="182"/>
      <c r="P61" s="182"/>
      <c r="Q61" s="183"/>
      <c r="R61" s="46"/>
      <c r="S61" s="198"/>
      <c r="T61" s="199"/>
      <c r="U61" s="199"/>
      <c r="V61" s="199"/>
      <c r="W61" s="199"/>
      <c r="X61" s="199"/>
      <c r="Y61" s="199"/>
      <c r="Z61" s="199"/>
      <c r="AA61" s="199"/>
      <c r="AB61" s="200"/>
      <c r="AC61" s="181" t="s">
        <v>71</v>
      </c>
      <c r="AD61" s="182"/>
      <c r="AE61" s="182"/>
      <c r="AF61" s="182"/>
      <c r="AG61" s="182"/>
      <c r="AH61" s="183"/>
      <c r="AI61" s="8"/>
      <c r="AJ61" s="8"/>
      <c r="AK61" s="8"/>
      <c r="AL61" s="101" t="s">
        <v>231</v>
      </c>
      <c r="AM61" s="101" t="s">
        <v>232</v>
      </c>
      <c r="AN61" s="78" t="s">
        <v>113</v>
      </c>
      <c r="AO61" s="78" t="s">
        <v>181</v>
      </c>
      <c r="AP61" s="13" t="s">
        <v>19</v>
      </c>
      <c r="AQ61" s="13" t="s">
        <v>20</v>
      </c>
      <c r="AR61" s="6" t="s">
        <v>187</v>
      </c>
      <c r="AS61" s="6" t="s">
        <v>114</v>
      </c>
      <c r="AT61" s="6" t="s">
        <v>188</v>
      </c>
      <c r="AU61" s="13" t="s">
        <v>21</v>
      </c>
      <c r="AV61" s="13" t="s">
        <v>22</v>
      </c>
      <c r="AW61" s="6" t="s">
        <v>216</v>
      </c>
      <c r="AX61" s="8"/>
      <c r="AY61" s="10"/>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row>
    <row r="62" spans="1:193" ht="18" customHeight="1" x14ac:dyDescent="0.3">
      <c r="B62" s="113" t="s">
        <v>230</v>
      </c>
      <c r="C62" s="114"/>
      <c r="D62" s="114"/>
      <c r="E62" s="114"/>
      <c r="F62" s="114"/>
      <c r="G62" s="114"/>
      <c r="H62" s="115"/>
      <c r="I62" s="162">
        <f>O19</f>
        <v>0</v>
      </c>
      <c r="J62" s="162"/>
      <c r="K62" s="162"/>
      <c r="L62" s="119"/>
      <c r="M62" s="120"/>
      <c r="N62" s="121"/>
      <c r="O62" s="122">
        <f t="shared" ref="O62:O68" si="4">IF(AND(AL62&lt;0.01,AL62&gt;0),0.01,ROUND(AL62,4))</f>
        <v>0</v>
      </c>
      <c r="P62" s="123"/>
      <c r="Q62" s="124"/>
      <c r="R62" s="46"/>
      <c r="S62" s="113" t="s">
        <v>230</v>
      </c>
      <c r="T62" s="114"/>
      <c r="U62" s="114"/>
      <c r="V62" s="114"/>
      <c r="W62" s="114"/>
      <c r="X62" s="114"/>
      <c r="Y62" s="115"/>
      <c r="Z62" s="162">
        <f>AF19</f>
        <v>0</v>
      </c>
      <c r="AA62" s="162"/>
      <c r="AB62" s="162"/>
      <c r="AC62" s="119"/>
      <c r="AD62" s="120"/>
      <c r="AE62" s="121"/>
      <c r="AF62" s="122">
        <f t="shared" ref="AF62:AF68" si="5">IF(AND(AM62&lt;0.01,AM62&gt;0),0.01,ROUND(AM62,4))</f>
        <v>0</v>
      </c>
      <c r="AG62" s="123"/>
      <c r="AH62" s="124"/>
      <c r="AI62" s="8"/>
      <c r="AJ62" s="8"/>
      <c r="AK62" s="8"/>
      <c r="AL62" s="64">
        <f>IF(L62&gt;0,I62*L62,0)</f>
        <v>0</v>
      </c>
      <c r="AM62" s="64">
        <f>IF(AC62&gt;0,Z62*AC62,0)</f>
        <v>0</v>
      </c>
      <c r="AN62" s="90">
        <f t="shared" ref="AN62:AN67" si="6">IF(O62&gt;0,O62,I62)</f>
        <v>0</v>
      </c>
      <c r="AO62" s="91">
        <f t="shared" ref="AO62:AO68" si="7">ROUND(AN62,2)</f>
        <v>0</v>
      </c>
      <c r="AP62" s="92">
        <f>LARGE(AO62:AO68,1)</f>
        <v>0</v>
      </c>
      <c r="AQ62" s="22">
        <f>AP62+AP63*(1-AP62)</f>
        <v>0</v>
      </c>
      <c r="AR62" s="91">
        <f t="shared" ref="AR62:AR67" si="8">ROUND(AQ62,2)</f>
        <v>0</v>
      </c>
      <c r="AS62" s="90">
        <f t="shared" ref="AS62:AS68" si="9">IF(AF62&gt;0,AF62,Z62)</f>
        <v>0</v>
      </c>
      <c r="AT62" s="91">
        <f t="shared" ref="AT62:AT68" si="10">ROUND(AS62,2)</f>
        <v>0</v>
      </c>
      <c r="AU62" s="22">
        <f>LARGE(AT62:AT68,1)</f>
        <v>0</v>
      </c>
      <c r="AV62" s="22">
        <f>AU62+AU63*(1-AU62)</f>
        <v>0</v>
      </c>
      <c r="AW62" s="91">
        <f t="shared" ref="AW62:AW67" si="11">ROUND(AV62,2)</f>
        <v>0</v>
      </c>
      <c r="AX62" s="8"/>
      <c r="AY62" s="12" t="s">
        <v>10</v>
      </c>
      <c r="AZ62" s="13" t="s">
        <v>14</v>
      </c>
      <c r="BA62" s="8"/>
      <c r="BB62" s="44"/>
      <c r="BC62" s="44"/>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row>
    <row r="63" spans="1:193" ht="18" customHeight="1" x14ac:dyDescent="0.3">
      <c r="B63" s="113" t="s">
        <v>154</v>
      </c>
      <c r="C63" s="114"/>
      <c r="D63" s="114"/>
      <c r="E63" s="114"/>
      <c r="F63" s="114"/>
      <c r="G63" s="114"/>
      <c r="H63" s="115"/>
      <c r="I63" s="162">
        <f>O35</f>
        <v>0</v>
      </c>
      <c r="J63" s="162"/>
      <c r="K63" s="162"/>
      <c r="L63" s="119"/>
      <c r="M63" s="120"/>
      <c r="N63" s="121"/>
      <c r="O63" s="122">
        <f t="shared" si="4"/>
        <v>0</v>
      </c>
      <c r="P63" s="123"/>
      <c r="Q63" s="124"/>
      <c r="R63" s="46"/>
      <c r="S63" s="113" t="s">
        <v>154</v>
      </c>
      <c r="T63" s="114"/>
      <c r="U63" s="114"/>
      <c r="V63" s="114"/>
      <c r="W63" s="114"/>
      <c r="X63" s="114"/>
      <c r="Y63" s="115"/>
      <c r="Z63" s="162">
        <f>AF35</f>
        <v>0</v>
      </c>
      <c r="AA63" s="162"/>
      <c r="AB63" s="162"/>
      <c r="AC63" s="119"/>
      <c r="AD63" s="120"/>
      <c r="AE63" s="121"/>
      <c r="AF63" s="122">
        <f t="shared" si="5"/>
        <v>0</v>
      </c>
      <c r="AG63" s="123"/>
      <c r="AH63" s="124"/>
      <c r="AI63" s="8"/>
      <c r="AJ63" s="8"/>
      <c r="AK63" s="8"/>
      <c r="AL63" s="64">
        <f>IF(L63&gt;0,I63*L63,0)</f>
        <v>0</v>
      </c>
      <c r="AM63" s="64">
        <f>IF(AC63&gt;0,Z63*AC63,0)</f>
        <v>0</v>
      </c>
      <c r="AN63" s="90">
        <f t="shared" si="6"/>
        <v>0</v>
      </c>
      <c r="AO63" s="91">
        <f t="shared" si="7"/>
        <v>0</v>
      </c>
      <c r="AP63" s="92">
        <f>LARGE(AO62:AO68,2)</f>
        <v>0</v>
      </c>
      <c r="AQ63" s="22">
        <f>AR62+AP64*(1-AR62)</f>
        <v>0</v>
      </c>
      <c r="AR63" s="91">
        <f t="shared" si="8"/>
        <v>0</v>
      </c>
      <c r="AS63" s="90">
        <f t="shared" si="9"/>
        <v>0</v>
      </c>
      <c r="AT63" s="91">
        <f t="shared" si="10"/>
        <v>0</v>
      </c>
      <c r="AU63" s="22">
        <f>LARGE(AT62:AT68,2)</f>
        <v>0</v>
      </c>
      <c r="AV63" s="22">
        <f>AW62+AU64*(1-AW62)</f>
        <v>0</v>
      </c>
      <c r="AW63" s="91">
        <f t="shared" si="11"/>
        <v>0</v>
      </c>
      <c r="AX63" s="8"/>
      <c r="AY63" s="26">
        <f>COUNTIF(I62:I68,"&gt;0")</f>
        <v>0</v>
      </c>
      <c r="AZ63" s="26">
        <f>COUNTIF(Z62:Z68,"&gt;0")</f>
        <v>0</v>
      </c>
      <c r="BA63" s="10" t="s">
        <v>217</v>
      </c>
      <c r="BB63" s="44"/>
      <c r="BC63" s="44"/>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row>
    <row r="64" spans="1:193" ht="18" customHeight="1" x14ac:dyDescent="0.3">
      <c r="B64" s="244" t="s">
        <v>155</v>
      </c>
      <c r="C64" s="245"/>
      <c r="D64" s="245"/>
      <c r="E64" s="245"/>
      <c r="F64" s="245"/>
      <c r="G64" s="245"/>
      <c r="H64" s="246"/>
      <c r="I64" s="162">
        <f>O50</f>
        <v>0</v>
      </c>
      <c r="J64" s="162"/>
      <c r="K64" s="162"/>
      <c r="L64" s="119"/>
      <c r="M64" s="120"/>
      <c r="N64" s="121"/>
      <c r="O64" s="122">
        <f t="shared" si="4"/>
        <v>0</v>
      </c>
      <c r="P64" s="123"/>
      <c r="Q64" s="124"/>
      <c r="R64" s="46"/>
      <c r="S64" s="244" t="s">
        <v>155</v>
      </c>
      <c r="T64" s="245"/>
      <c r="U64" s="245"/>
      <c r="V64" s="245"/>
      <c r="W64" s="245"/>
      <c r="X64" s="245"/>
      <c r="Y64" s="246"/>
      <c r="Z64" s="162">
        <f>AF50</f>
        <v>0</v>
      </c>
      <c r="AA64" s="162"/>
      <c r="AB64" s="162"/>
      <c r="AC64" s="119"/>
      <c r="AD64" s="120"/>
      <c r="AE64" s="121"/>
      <c r="AF64" s="122">
        <f t="shared" si="5"/>
        <v>0</v>
      </c>
      <c r="AG64" s="123"/>
      <c r="AH64" s="124"/>
      <c r="AI64" s="8"/>
      <c r="AJ64" s="8"/>
      <c r="AK64" s="8"/>
      <c r="AL64" s="64">
        <f t="shared" ref="AL64:AL67" si="12">IF(L64&gt;0,I64*L64,0)</f>
        <v>0</v>
      </c>
      <c r="AM64" s="64">
        <f t="shared" ref="AM64:AM67" si="13">IF(AC64&gt;0,Z64*AC64,0)</f>
        <v>0</v>
      </c>
      <c r="AN64" s="90">
        <f t="shared" si="6"/>
        <v>0</v>
      </c>
      <c r="AO64" s="91">
        <f t="shared" si="7"/>
        <v>0</v>
      </c>
      <c r="AP64" s="92">
        <f>LARGE(AO62:AO68,3)</f>
        <v>0</v>
      </c>
      <c r="AQ64" s="22">
        <f>AR63+AP65*(1-AR63)</f>
        <v>0</v>
      </c>
      <c r="AR64" s="91">
        <f t="shared" si="8"/>
        <v>0</v>
      </c>
      <c r="AS64" s="90">
        <f t="shared" si="9"/>
        <v>0</v>
      </c>
      <c r="AT64" s="91">
        <f t="shared" si="10"/>
        <v>0</v>
      </c>
      <c r="AU64" s="22">
        <f>LARGE(AT62:AT68,3)</f>
        <v>0</v>
      </c>
      <c r="AV64" s="22">
        <f>AW63+AU65*(1-AW63)</f>
        <v>0</v>
      </c>
      <c r="AW64" s="91">
        <f t="shared" si="11"/>
        <v>0</v>
      </c>
      <c r="AX64" s="8"/>
      <c r="AY64" s="12">
        <f>ROUND(SUM(AN62:AN68),4)</f>
        <v>0</v>
      </c>
      <c r="AZ64" s="12">
        <f>ROUND(SUM(AS62:AS68),4)</f>
        <v>0</v>
      </c>
      <c r="BA64" s="8"/>
      <c r="BB64" s="44"/>
      <c r="BC64" s="44"/>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row>
    <row r="65" spans="2:193" ht="18" customHeight="1" x14ac:dyDescent="0.3">
      <c r="B65" s="113" t="s">
        <v>169</v>
      </c>
      <c r="C65" s="114"/>
      <c r="D65" s="114"/>
      <c r="E65" s="114"/>
      <c r="F65" s="114"/>
      <c r="G65" s="114"/>
      <c r="H65" s="115"/>
      <c r="I65" s="162">
        <f>O54</f>
        <v>0</v>
      </c>
      <c r="J65" s="162"/>
      <c r="K65" s="162"/>
      <c r="L65" s="119"/>
      <c r="M65" s="120"/>
      <c r="N65" s="121"/>
      <c r="O65" s="122">
        <f t="shared" si="4"/>
        <v>0</v>
      </c>
      <c r="P65" s="123"/>
      <c r="Q65" s="124"/>
      <c r="R65" s="46"/>
      <c r="S65" s="113" t="s">
        <v>169</v>
      </c>
      <c r="T65" s="114"/>
      <c r="U65" s="114"/>
      <c r="V65" s="114"/>
      <c r="W65" s="114"/>
      <c r="X65" s="114"/>
      <c r="Y65" s="115"/>
      <c r="Z65" s="162">
        <f>AF54</f>
        <v>0</v>
      </c>
      <c r="AA65" s="162"/>
      <c r="AB65" s="162"/>
      <c r="AC65" s="119"/>
      <c r="AD65" s="120"/>
      <c r="AE65" s="121"/>
      <c r="AF65" s="122">
        <f t="shared" si="5"/>
        <v>0</v>
      </c>
      <c r="AG65" s="123"/>
      <c r="AH65" s="124"/>
      <c r="AI65" s="8"/>
      <c r="AJ65" s="8"/>
      <c r="AK65" s="8"/>
      <c r="AL65" s="64">
        <f t="shared" si="12"/>
        <v>0</v>
      </c>
      <c r="AM65" s="64">
        <f t="shared" si="13"/>
        <v>0</v>
      </c>
      <c r="AN65" s="90">
        <f t="shared" si="6"/>
        <v>0</v>
      </c>
      <c r="AO65" s="91">
        <f t="shared" si="7"/>
        <v>0</v>
      </c>
      <c r="AP65" s="92">
        <f>LARGE(AO62:AO68,4)</f>
        <v>0</v>
      </c>
      <c r="AQ65" s="22">
        <f>AR64+AP66*(1-AR64)</f>
        <v>0</v>
      </c>
      <c r="AR65" s="91">
        <f t="shared" si="8"/>
        <v>0</v>
      </c>
      <c r="AS65" s="90">
        <f t="shared" si="9"/>
        <v>0</v>
      </c>
      <c r="AT65" s="91">
        <f t="shared" si="10"/>
        <v>0</v>
      </c>
      <c r="AU65" s="22">
        <f>LARGE(AT62:AT68,4)</f>
        <v>0</v>
      </c>
      <c r="AV65" s="22">
        <f>AW64+AU66*(1-AW64)</f>
        <v>0</v>
      </c>
      <c r="AW65" s="91">
        <f t="shared" si="11"/>
        <v>0</v>
      </c>
      <c r="AX65" s="8"/>
      <c r="AY65" s="34"/>
      <c r="AZ65" s="8"/>
      <c r="BA65" s="8"/>
      <c r="BB65" s="44"/>
      <c r="BC65" s="44"/>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row>
    <row r="66" spans="2:193" ht="18" customHeight="1" x14ac:dyDescent="0.3">
      <c r="B66" s="113" t="s">
        <v>78</v>
      </c>
      <c r="C66" s="114"/>
      <c r="D66" s="114"/>
      <c r="E66" s="114"/>
      <c r="F66" s="114"/>
      <c r="G66" s="114"/>
      <c r="H66" s="115"/>
      <c r="I66" s="162">
        <f>O55</f>
        <v>0</v>
      </c>
      <c r="J66" s="162"/>
      <c r="K66" s="162"/>
      <c r="L66" s="119"/>
      <c r="M66" s="120"/>
      <c r="N66" s="121"/>
      <c r="O66" s="122">
        <f t="shared" si="4"/>
        <v>0</v>
      </c>
      <c r="P66" s="123"/>
      <c r="Q66" s="124"/>
      <c r="R66" s="46"/>
      <c r="S66" s="113" t="s">
        <v>78</v>
      </c>
      <c r="T66" s="114"/>
      <c r="U66" s="114"/>
      <c r="V66" s="114"/>
      <c r="W66" s="114"/>
      <c r="X66" s="114"/>
      <c r="Y66" s="115"/>
      <c r="Z66" s="162">
        <f>AF55</f>
        <v>0</v>
      </c>
      <c r="AA66" s="162"/>
      <c r="AB66" s="162"/>
      <c r="AC66" s="119"/>
      <c r="AD66" s="120"/>
      <c r="AE66" s="121"/>
      <c r="AF66" s="122">
        <f t="shared" si="5"/>
        <v>0</v>
      </c>
      <c r="AG66" s="123"/>
      <c r="AH66" s="124"/>
      <c r="AI66" s="8"/>
      <c r="AJ66" s="8"/>
      <c r="AK66" s="8"/>
      <c r="AL66" s="64">
        <f t="shared" si="12"/>
        <v>0</v>
      </c>
      <c r="AM66" s="64">
        <f t="shared" si="13"/>
        <v>0</v>
      </c>
      <c r="AN66" s="90">
        <f t="shared" si="6"/>
        <v>0</v>
      </c>
      <c r="AO66" s="91">
        <f t="shared" si="7"/>
        <v>0</v>
      </c>
      <c r="AP66" s="92">
        <f>LARGE(AO62:AO68,5)</f>
        <v>0</v>
      </c>
      <c r="AQ66" s="22">
        <f>AR65+AP67*(1-AR65)</f>
        <v>0</v>
      </c>
      <c r="AR66" s="91">
        <f t="shared" si="8"/>
        <v>0</v>
      </c>
      <c r="AS66" s="90">
        <f t="shared" si="9"/>
        <v>0</v>
      </c>
      <c r="AT66" s="91">
        <f t="shared" si="10"/>
        <v>0</v>
      </c>
      <c r="AU66" s="22">
        <f>LARGE(AT62:AT68,5)</f>
        <v>0</v>
      </c>
      <c r="AV66" s="22">
        <f>AW65+AU67*(1-AW65)</f>
        <v>0</v>
      </c>
      <c r="AW66" s="91">
        <f t="shared" si="11"/>
        <v>0</v>
      </c>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row>
    <row r="67" spans="2:193" ht="18" customHeight="1" x14ac:dyDescent="0.3">
      <c r="B67" s="113" t="s">
        <v>151</v>
      </c>
      <c r="C67" s="114"/>
      <c r="D67" s="114"/>
      <c r="E67" s="114"/>
      <c r="F67" s="114"/>
      <c r="G67" s="114"/>
      <c r="H67" s="115"/>
      <c r="I67" s="162">
        <f>O56</f>
        <v>0</v>
      </c>
      <c r="J67" s="162"/>
      <c r="K67" s="162"/>
      <c r="L67" s="119"/>
      <c r="M67" s="120"/>
      <c r="N67" s="121"/>
      <c r="O67" s="122">
        <f t="shared" si="4"/>
        <v>0</v>
      </c>
      <c r="P67" s="123"/>
      <c r="Q67" s="124"/>
      <c r="R67" s="46"/>
      <c r="S67" s="113" t="s">
        <v>151</v>
      </c>
      <c r="T67" s="114"/>
      <c r="U67" s="114"/>
      <c r="V67" s="114"/>
      <c r="W67" s="114"/>
      <c r="X67" s="114"/>
      <c r="Y67" s="115"/>
      <c r="Z67" s="162">
        <f>AF56</f>
        <v>0</v>
      </c>
      <c r="AA67" s="162"/>
      <c r="AB67" s="162"/>
      <c r="AC67" s="119"/>
      <c r="AD67" s="120"/>
      <c r="AE67" s="121"/>
      <c r="AF67" s="122">
        <f t="shared" si="5"/>
        <v>0</v>
      </c>
      <c r="AG67" s="123"/>
      <c r="AH67" s="124"/>
      <c r="AI67" s="8"/>
      <c r="AJ67" s="8"/>
      <c r="AK67" s="8"/>
      <c r="AL67" s="64">
        <f t="shared" si="12"/>
        <v>0</v>
      </c>
      <c r="AM67" s="64">
        <f t="shared" si="13"/>
        <v>0</v>
      </c>
      <c r="AN67" s="90">
        <f t="shared" si="6"/>
        <v>0</v>
      </c>
      <c r="AO67" s="91">
        <f t="shared" si="7"/>
        <v>0</v>
      </c>
      <c r="AP67" s="92">
        <f>LARGE(AO62:AO68,6)</f>
        <v>0</v>
      </c>
      <c r="AQ67" s="22">
        <f>AR66+AP68*(1-AR66)</f>
        <v>0</v>
      </c>
      <c r="AR67" s="91">
        <f t="shared" si="8"/>
        <v>0</v>
      </c>
      <c r="AS67" s="90">
        <f t="shared" si="9"/>
        <v>0</v>
      </c>
      <c r="AT67" s="91">
        <f t="shared" si="10"/>
        <v>0</v>
      </c>
      <c r="AU67" s="22">
        <f>LARGE(AT62:AT68,6)</f>
        <v>0</v>
      </c>
      <c r="AV67" s="22">
        <f>AW66+AU68*(1-AW66)</f>
        <v>0</v>
      </c>
      <c r="AW67" s="91">
        <f t="shared" si="11"/>
        <v>0</v>
      </c>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row>
    <row r="68" spans="2:193" ht="18" customHeight="1" x14ac:dyDescent="0.3">
      <c r="B68" s="113" t="s">
        <v>224</v>
      </c>
      <c r="C68" s="114"/>
      <c r="D68" s="114"/>
      <c r="E68" s="114"/>
      <c r="F68" s="114"/>
      <c r="G68" s="114"/>
      <c r="H68" s="115"/>
      <c r="I68" s="116">
        <f>O58</f>
        <v>0</v>
      </c>
      <c r="J68" s="117"/>
      <c r="K68" s="118"/>
      <c r="L68" s="119"/>
      <c r="M68" s="120"/>
      <c r="N68" s="121"/>
      <c r="O68" s="122">
        <f t="shared" si="4"/>
        <v>0</v>
      </c>
      <c r="P68" s="123"/>
      <c r="Q68" s="124"/>
      <c r="R68" s="46"/>
      <c r="S68" s="113" t="s">
        <v>224</v>
      </c>
      <c r="T68" s="114"/>
      <c r="U68" s="114"/>
      <c r="V68" s="114"/>
      <c r="W68" s="114"/>
      <c r="X68" s="114"/>
      <c r="Y68" s="115"/>
      <c r="Z68" s="116">
        <f>AF58</f>
        <v>0</v>
      </c>
      <c r="AA68" s="117"/>
      <c r="AB68" s="118"/>
      <c r="AC68" s="119"/>
      <c r="AD68" s="120"/>
      <c r="AE68" s="121"/>
      <c r="AF68" s="122">
        <f t="shared" si="5"/>
        <v>0</v>
      </c>
      <c r="AG68" s="123"/>
      <c r="AH68" s="124"/>
      <c r="AI68" s="8"/>
      <c r="AJ68" s="8"/>
      <c r="AK68" s="8"/>
      <c r="AL68" s="64">
        <f t="shared" ref="AL68" si="14">IF(L68&gt;0,I68*L68,0)</f>
        <v>0</v>
      </c>
      <c r="AM68" s="64">
        <f t="shared" ref="AM68" si="15">IF(AC68&gt;0,Z68*AC68,0)</f>
        <v>0</v>
      </c>
      <c r="AN68" s="90">
        <f t="shared" ref="AN68" si="16">IF(O68&gt;0,O68,I68)</f>
        <v>0</v>
      </c>
      <c r="AO68" s="91">
        <f t="shared" si="7"/>
        <v>0</v>
      </c>
      <c r="AP68" s="92">
        <f>LARGE(AO62:AO68,7)</f>
        <v>0</v>
      </c>
      <c r="AQ68" s="34"/>
      <c r="AR68" s="4"/>
      <c r="AS68" s="90">
        <f t="shared" si="9"/>
        <v>0</v>
      </c>
      <c r="AT68" s="91">
        <f t="shared" si="10"/>
        <v>0</v>
      </c>
      <c r="AU68" s="22">
        <f>LARGE(AT62:AT68,7)</f>
        <v>0</v>
      </c>
      <c r="AV68" s="87"/>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row>
    <row r="69" spans="2:193" ht="27" customHeight="1" x14ac:dyDescent="0.3">
      <c r="B69" s="108" t="s">
        <v>120</v>
      </c>
      <c r="C69" s="114"/>
      <c r="D69" s="114"/>
      <c r="E69" s="114"/>
      <c r="F69" s="114"/>
      <c r="G69" s="114"/>
      <c r="H69" s="115"/>
      <c r="I69" s="271">
        <f>IF(AY63=1,AY64,AR67)</f>
        <v>0</v>
      </c>
      <c r="J69" s="271"/>
      <c r="K69" s="271"/>
      <c r="L69" s="146"/>
      <c r="M69" s="146"/>
      <c r="N69" s="146"/>
      <c r="O69" s="146"/>
      <c r="P69" s="146"/>
      <c r="Q69" s="146"/>
      <c r="R69" s="50"/>
      <c r="S69" s="108" t="s">
        <v>121</v>
      </c>
      <c r="T69" s="114"/>
      <c r="U69" s="114"/>
      <c r="V69" s="114"/>
      <c r="W69" s="114"/>
      <c r="X69" s="114"/>
      <c r="Y69" s="115"/>
      <c r="Z69" s="271">
        <f>IF(AZ63=1,AZ64,AW67)</f>
        <v>0</v>
      </c>
      <c r="AA69" s="271"/>
      <c r="AB69" s="271"/>
      <c r="AC69" s="146"/>
      <c r="AD69" s="146"/>
      <c r="AE69" s="146"/>
      <c r="AF69" s="146"/>
      <c r="AG69" s="146"/>
      <c r="AH69" s="146"/>
      <c r="AI69" s="8"/>
      <c r="AJ69" s="8"/>
      <c r="AK69" s="8"/>
      <c r="AL69" s="8"/>
      <c r="AM69" s="8"/>
      <c r="AN69" s="5"/>
      <c r="AP69" s="8"/>
      <c r="AQ69" s="8"/>
      <c r="AR69" s="4"/>
      <c r="AU69" s="5"/>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row>
    <row r="70" spans="2:193" ht="12" customHeight="1" x14ac:dyDescent="0.3">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8"/>
      <c r="AJ70" s="8"/>
      <c r="AK70" s="8"/>
      <c r="AN70" s="8"/>
      <c r="AO70" s="8"/>
      <c r="AP70" s="8"/>
      <c r="AQ70" s="8"/>
      <c r="AR70" s="4"/>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row>
    <row r="71" spans="2:193" ht="33" customHeight="1" x14ac:dyDescent="0.3">
      <c r="B71" s="148" t="s">
        <v>118</v>
      </c>
      <c r="C71" s="149"/>
      <c r="D71" s="149"/>
      <c r="E71" s="149"/>
      <c r="F71" s="149"/>
      <c r="G71" s="149"/>
      <c r="H71" s="149"/>
      <c r="I71" s="149"/>
      <c r="J71" s="149"/>
      <c r="K71" s="149"/>
      <c r="L71" s="149"/>
      <c r="M71" s="149"/>
      <c r="N71" s="149"/>
      <c r="O71" s="149"/>
      <c r="P71" s="149"/>
      <c r="Q71" s="282"/>
      <c r="R71" s="282"/>
      <c r="S71" s="282"/>
      <c r="T71" s="282"/>
      <c r="U71" s="282"/>
      <c r="V71" s="282"/>
      <c r="W71" s="282"/>
      <c r="X71" s="282"/>
      <c r="Y71" s="282"/>
      <c r="Z71" s="282"/>
      <c r="AA71" s="282"/>
      <c r="AB71" s="282"/>
      <c r="AC71" s="282"/>
      <c r="AD71" s="282"/>
      <c r="AE71" s="282"/>
      <c r="AF71" s="282"/>
      <c r="AG71" s="282"/>
      <c r="AH71" s="283"/>
      <c r="AI71" s="8"/>
      <c r="AJ71" s="8"/>
      <c r="AK71" s="8"/>
      <c r="AL71" s="94">
        <f>MAX(Q75,AE80)</f>
        <v>0</v>
      </c>
      <c r="AM71" s="108" t="s">
        <v>124</v>
      </c>
      <c r="AN71" s="109"/>
      <c r="AO71" s="8"/>
      <c r="AP71" s="88" t="s">
        <v>176</v>
      </c>
      <c r="AQ71" s="88" t="s">
        <v>177</v>
      </c>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row>
    <row r="72" spans="2:193" ht="41.25" customHeight="1" x14ac:dyDescent="0.3">
      <c r="B72" s="141" t="s">
        <v>115</v>
      </c>
      <c r="C72" s="142"/>
      <c r="D72" s="142"/>
      <c r="E72" s="142"/>
      <c r="F72" s="142"/>
      <c r="G72" s="142"/>
      <c r="H72" s="142"/>
      <c r="I72" s="142"/>
      <c r="J72" s="142"/>
      <c r="K72" s="142"/>
      <c r="L72" s="131" t="s">
        <v>116</v>
      </c>
      <c r="M72" s="131"/>
      <c r="N72" s="131"/>
      <c r="O72" s="131"/>
      <c r="P72" s="148"/>
      <c r="Q72" s="76"/>
      <c r="R72" s="71"/>
      <c r="S72" s="71"/>
      <c r="T72" s="71"/>
      <c r="U72" s="77"/>
      <c r="V72" s="149"/>
      <c r="W72" s="149"/>
      <c r="X72" s="149"/>
      <c r="Y72" s="70"/>
      <c r="Z72" s="70"/>
      <c r="AA72" s="70"/>
      <c r="AB72" s="70"/>
      <c r="AC72" s="70"/>
      <c r="AD72" s="70"/>
      <c r="AE72" s="60"/>
      <c r="AF72" s="74"/>
      <c r="AG72" s="74"/>
      <c r="AH72" s="83"/>
      <c r="AI72" s="8"/>
      <c r="AJ72" s="8"/>
      <c r="AK72" s="8"/>
      <c r="AL72" s="12" t="s">
        <v>226</v>
      </c>
      <c r="AM72" s="13" t="s">
        <v>227</v>
      </c>
      <c r="AN72" s="13" t="s">
        <v>228</v>
      </c>
      <c r="AO72" s="8"/>
      <c r="AP72" s="22">
        <f>IF(O69&gt;0,O69,I69)</f>
        <v>0</v>
      </c>
      <c r="AQ72" s="22">
        <f>IF(AF69&gt;0,AF69,Z69)</f>
        <v>0</v>
      </c>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row>
    <row r="73" spans="2:193" ht="18" customHeight="1" x14ac:dyDescent="0.3">
      <c r="B73" s="310" t="s">
        <v>36</v>
      </c>
      <c r="C73" s="311"/>
      <c r="D73" s="311"/>
      <c r="E73" s="311"/>
      <c r="F73" s="311"/>
      <c r="G73" s="311"/>
      <c r="H73" s="312"/>
      <c r="I73" s="116" t="str">
        <f>IF(J3&lt;AL5,"DOI&lt;2005",AP72)</f>
        <v>DOI&lt;2005</v>
      </c>
      <c r="J73" s="117"/>
      <c r="K73" s="118"/>
      <c r="L73" s="15" t="s">
        <v>147</v>
      </c>
      <c r="M73" s="276">
        <v>0.31</v>
      </c>
      <c r="N73" s="277"/>
      <c r="O73" s="278"/>
      <c r="P73" s="15" t="s">
        <v>148</v>
      </c>
      <c r="Q73" s="304" t="str">
        <f>IF(J3&lt;AL5,"DOI&lt;2005",IF(AND(I73*M73&gt;0,I73*M73&lt;0.01),0.01,ROUND(I73*M73,2)))</f>
        <v>DOI&lt;2005</v>
      </c>
      <c r="R73" s="305"/>
      <c r="S73" s="305"/>
      <c r="T73" s="305"/>
      <c r="U73" s="78"/>
      <c r="V73" s="284" t="s">
        <v>191</v>
      </c>
      <c r="W73" s="284"/>
      <c r="X73" s="285"/>
      <c r="Y73" s="188"/>
      <c r="Z73" s="188"/>
      <c r="AA73" s="188"/>
      <c r="AB73" s="188"/>
      <c r="AC73" s="188"/>
      <c r="AD73" s="266"/>
      <c r="AE73" s="272" t="s">
        <v>117</v>
      </c>
      <c r="AF73" s="272"/>
      <c r="AG73" s="272"/>
      <c r="AH73" s="273"/>
      <c r="AI73" s="8"/>
      <c r="AJ73" s="8"/>
      <c r="AK73" s="8"/>
      <c r="AL73" s="22" t="e">
        <f>LARGE(Q73:Q74,1)</f>
        <v>#NUM!</v>
      </c>
      <c r="AM73" s="92" t="e">
        <f>IF(AND(AL73&gt;0,AL73&lt;0.01),0.01,ROUND(AL73,2))</f>
        <v>#NUM!</v>
      </c>
      <c r="AN73" s="12" t="e">
        <f>AM73+AM74*(1-AM73)</f>
        <v>#NUM!</v>
      </c>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row>
    <row r="74" spans="2:193" ht="18" customHeight="1" x14ac:dyDescent="0.3">
      <c r="B74" s="313" t="s">
        <v>37</v>
      </c>
      <c r="C74" s="314"/>
      <c r="D74" s="314"/>
      <c r="E74" s="314"/>
      <c r="F74" s="314"/>
      <c r="G74" s="314"/>
      <c r="H74" s="315"/>
      <c r="I74" s="300" t="str">
        <f>IF(J3&lt;AL5,"DOI&lt;2005",AQ72)</f>
        <v>DOI&lt;2005</v>
      </c>
      <c r="J74" s="301"/>
      <c r="K74" s="302"/>
      <c r="L74" s="65" t="s">
        <v>147</v>
      </c>
      <c r="M74" s="262">
        <v>0.31</v>
      </c>
      <c r="N74" s="263"/>
      <c r="O74" s="270"/>
      <c r="P74" s="65" t="s">
        <v>148</v>
      </c>
      <c r="Q74" s="262" t="str">
        <f>IF(J3&lt;AL5,"DOI&lt;2005",IF(AND(I74*M74&gt;0,I74*M74&lt;0.01),0.01,ROUND(I74*M74,2)))</f>
        <v>DOI&lt;2005</v>
      </c>
      <c r="R74" s="263"/>
      <c r="S74" s="263"/>
      <c r="T74" s="263"/>
      <c r="U74" s="17"/>
      <c r="V74" s="286"/>
      <c r="W74" s="286"/>
      <c r="X74" s="287"/>
      <c r="Y74" s="67"/>
      <c r="Z74" s="67"/>
      <c r="AA74" s="67"/>
      <c r="AB74" s="67"/>
      <c r="AC74" s="67"/>
      <c r="AD74" s="68"/>
      <c r="AE74" s="274"/>
      <c r="AF74" s="274"/>
      <c r="AG74" s="274"/>
      <c r="AH74" s="275"/>
      <c r="AI74" s="8"/>
      <c r="AJ74" s="8"/>
      <c r="AK74" s="8"/>
      <c r="AL74" s="22" t="e">
        <f>LARGE(Q73:Q74,2)</f>
        <v>#NUM!</v>
      </c>
      <c r="AM74" s="92" t="e">
        <f>IF(AND(AL74&gt;0,AL74&lt;0.01),0.01,ROUND(AL74,2))</f>
        <v>#NUM!</v>
      </c>
      <c r="AN74" s="21" t="e">
        <f>ROUND(AN73,2)</f>
        <v>#NUM!</v>
      </c>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row>
    <row r="75" spans="2:193" ht="14.25" customHeight="1" x14ac:dyDescent="0.3">
      <c r="B75" s="152" t="str">
        <f>IF(J3&lt;AL5,"",IF(AND(I73&gt;0,I74&gt;0),AM76,AL76))</f>
        <v/>
      </c>
      <c r="C75" s="153"/>
      <c r="D75" s="153"/>
      <c r="E75" s="153"/>
      <c r="F75" s="153"/>
      <c r="G75" s="153"/>
      <c r="H75" s="153"/>
      <c r="I75" s="153"/>
      <c r="J75" s="153"/>
      <c r="K75" s="153"/>
      <c r="L75" s="153"/>
      <c r="M75" s="153"/>
      <c r="N75" s="153"/>
      <c r="O75" s="154"/>
      <c r="P75" s="65" t="s">
        <v>148</v>
      </c>
      <c r="Q75" s="291" t="str">
        <f>IF(J3&lt;AL5,"DOI&lt;2005",IF(OR(Q73=0,Q74=0),Q73+Q74,AN74))</f>
        <v>DOI&lt;2005</v>
      </c>
      <c r="R75" s="292"/>
      <c r="S75" s="292"/>
      <c r="T75" s="293"/>
      <c r="U75" s="17" t="s">
        <v>147</v>
      </c>
      <c r="V75" s="264">
        <f>SAWW!D4</f>
        <v>0</v>
      </c>
      <c r="W75" s="265"/>
      <c r="X75" s="265"/>
      <c r="Y75" s="267" t="s">
        <v>192</v>
      </c>
      <c r="Z75" s="268"/>
      <c r="AA75" s="268"/>
      <c r="AB75" s="268"/>
      <c r="AC75" s="268"/>
      <c r="AD75" s="269"/>
      <c r="AE75" s="288" t="str">
        <f>IF(J3&lt;AL5,"DOI&lt;2005",ROUND(Q75*V75*100,2))</f>
        <v>DOI&lt;2005</v>
      </c>
      <c r="AF75" s="289"/>
      <c r="AG75" s="289"/>
      <c r="AH75" s="290"/>
      <c r="AI75" s="8"/>
      <c r="AJ75" s="8"/>
      <c r="AK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row>
    <row r="76" spans="2:193" ht="18" customHeight="1" x14ac:dyDescent="0.3">
      <c r="B76" s="297" t="s">
        <v>126</v>
      </c>
      <c r="C76" s="298"/>
      <c r="D76" s="298"/>
      <c r="E76" s="298"/>
      <c r="F76" s="298"/>
      <c r="G76" s="298"/>
      <c r="H76" s="298"/>
      <c r="I76" s="298"/>
      <c r="J76" s="298"/>
      <c r="K76" s="298"/>
      <c r="L76" s="298"/>
      <c r="M76" s="298"/>
      <c r="N76" s="298"/>
      <c r="O76" s="298"/>
      <c r="P76" s="298"/>
      <c r="Q76" s="299"/>
      <c r="R76" s="299"/>
      <c r="S76" s="2"/>
      <c r="T76" s="2"/>
      <c r="U76" s="2"/>
      <c r="V76" s="2"/>
      <c r="W76" s="2"/>
      <c r="X76" s="2"/>
      <c r="Y76" s="2"/>
      <c r="Z76" s="2"/>
      <c r="AA76" s="2"/>
      <c r="AB76" s="2"/>
      <c r="AC76" s="2"/>
      <c r="AD76" s="2"/>
      <c r="AE76" s="2"/>
      <c r="AF76" s="2"/>
      <c r="AG76" s="2"/>
      <c r="AH76" s="52"/>
      <c r="AI76" s="8"/>
      <c r="AJ76" s="8"/>
      <c r="AK76" s="8"/>
      <c r="AL76" s="6" t="s">
        <v>219</v>
      </c>
      <c r="AM76" s="110" t="s">
        <v>175</v>
      </c>
      <c r="AN76" s="111"/>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row>
    <row r="77" spans="2:193" ht="18" customHeight="1" x14ac:dyDescent="0.3">
      <c r="B77" s="128" t="s">
        <v>51</v>
      </c>
      <c r="C77" s="128"/>
      <c r="D77" s="128"/>
      <c r="E77" s="128"/>
      <c r="F77" s="128"/>
      <c r="G77" s="128"/>
      <c r="H77" s="128"/>
      <c r="I77" s="128"/>
      <c r="J77" s="128"/>
      <c r="K77" s="128"/>
      <c r="L77" s="128"/>
      <c r="M77" s="128"/>
      <c r="N77" s="128"/>
      <c r="O77" s="128"/>
      <c r="P77" s="128"/>
      <c r="Q77" s="128"/>
      <c r="R77" s="128"/>
      <c r="S77" s="162" t="str">
        <f>IF(J3&lt;AL5,"DOI&lt;2005",MIN(AP72,AQ72))</f>
        <v>DOI&lt;2005</v>
      </c>
      <c r="T77" s="162"/>
      <c r="U77" s="162"/>
      <c r="V77" s="162"/>
      <c r="W77" s="162"/>
      <c r="X77" s="15" t="s">
        <v>147</v>
      </c>
      <c r="Y77" s="164">
        <v>3</v>
      </c>
      <c r="Z77" s="165"/>
      <c r="AA77" s="166"/>
      <c r="AB77" s="267" t="s">
        <v>148</v>
      </c>
      <c r="AC77" s="268"/>
      <c r="AD77" s="269"/>
      <c r="AE77" s="130" t="str">
        <f>IF(J3&lt;AL5,"DOI&lt;2005",S77*Y77)</f>
        <v>DOI&lt;2005</v>
      </c>
      <c r="AF77" s="130"/>
      <c r="AG77" s="130"/>
      <c r="AH77" s="130"/>
      <c r="AI77" s="8"/>
      <c r="AJ77" s="8"/>
      <c r="AK77" s="8"/>
      <c r="AL77" s="10" t="s">
        <v>122</v>
      </c>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row>
    <row r="78" spans="2:193" ht="18" customHeight="1" x14ac:dyDescent="0.3">
      <c r="B78" s="128" t="s">
        <v>52</v>
      </c>
      <c r="C78" s="128"/>
      <c r="D78" s="128"/>
      <c r="E78" s="128"/>
      <c r="F78" s="128"/>
      <c r="G78" s="128"/>
      <c r="H78" s="128"/>
      <c r="I78" s="128"/>
      <c r="J78" s="128"/>
      <c r="K78" s="128"/>
      <c r="L78" s="128"/>
      <c r="M78" s="128"/>
      <c r="N78" s="128"/>
      <c r="O78" s="128"/>
      <c r="P78" s="128"/>
      <c r="Q78" s="128"/>
      <c r="R78" s="128"/>
      <c r="S78" s="162" t="str">
        <f>AE77</f>
        <v>DOI&lt;2005</v>
      </c>
      <c r="T78" s="162"/>
      <c r="U78" s="162"/>
      <c r="V78" s="162"/>
      <c r="W78" s="162"/>
      <c r="X78" s="15" t="s">
        <v>119</v>
      </c>
      <c r="Y78" s="116" t="str">
        <f>IF(J3&lt;AL5,"DOI&lt;2005",IF(S77=0,0,MAX(I73,I74)))</f>
        <v>DOI&lt;2005</v>
      </c>
      <c r="Z78" s="117"/>
      <c r="AA78" s="118"/>
      <c r="AB78" s="267" t="s">
        <v>148</v>
      </c>
      <c r="AC78" s="268"/>
      <c r="AD78" s="269"/>
      <c r="AE78" s="162" t="str">
        <f>IF(J3&lt;AL5,"DOI&lt;2005",S78+Y78)</f>
        <v>DOI&lt;2005</v>
      </c>
      <c r="AF78" s="162"/>
      <c r="AG78" s="162"/>
      <c r="AH78" s="162"/>
      <c r="AI78" s="8"/>
      <c r="AJ78" s="8"/>
      <c r="AK78" s="8"/>
      <c r="AL78" s="1" t="s">
        <v>123</v>
      </c>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row>
    <row r="79" spans="2:193" ht="18" customHeight="1" x14ac:dyDescent="0.3">
      <c r="B79" s="128" t="s">
        <v>53</v>
      </c>
      <c r="C79" s="128"/>
      <c r="D79" s="128"/>
      <c r="E79" s="128"/>
      <c r="F79" s="128"/>
      <c r="G79" s="128"/>
      <c r="H79" s="128"/>
      <c r="I79" s="128"/>
      <c r="J79" s="128"/>
      <c r="K79" s="128"/>
      <c r="L79" s="128"/>
      <c r="M79" s="128"/>
      <c r="N79" s="128"/>
      <c r="O79" s="128"/>
      <c r="P79" s="128"/>
      <c r="Q79" s="128"/>
      <c r="R79" s="128"/>
      <c r="S79" s="163" t="str">
        <f>AE78</f>
        <v>DOI&lt;2005</v>
      </c>
      <c r="T79" s="163"/>
      <c r="U79" s="163"/>
      <c r="V79" s="163"/>
      <c r="W79" s="163"/>
      <c r="X79" s="65" t="s">
        <v>218</v>
      </c>
      <c r="Y79" s="164">
        <v>4</v>
      </c>
      <c r="Z79" s="165"/>
      <c r="AA79" s="166"/>
      <c r="AB79" s="267" t="s">
        <v>148</v>
      </c>
      <c r="AC79" s="268"/>
      <c r="AD79" s="269"/>
      <c r="AE79" s="167" t="str">
        <f>IF(J3&lt;AL5,"DOI&lt;2005",S79/Y79)</f>
        <v>DOI&lt;2005</v>
      </c>
      <c r="AF79" s="167"/>
      <c r="AG79" s="167"/>
      <c r="AH79" s="167"/>
      <c r="AI79" s="8"/>
      <c r="AJ79" s="8"/>
      <c r="AK79" s="8"/>
      <c r="AL79" s="10"/>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row>
    <row r="80" spans="2:193" ht="18" customHeight="1" x14ac:dyDescent="0.3">
      <c r="B80" s="113" t="s">
        <v>72</v>
      </c>
      <c r="C80" s="114"/>
      <c r="D80" s="114"/>
      <c r="E80" s="114"/>
      <c r="F80" s="114"/>
      <c r="G80" s="114"/>
      <c r="H80" s="114"/>
      <c r="I80" s="114"/>
      <c r="J80" s="114"/>
      <c r="K80" s="114"/>
      <c r="L80" s="114"/>
      <c r="M80" s="114"/>
      <c r="N80" s="114"/>
      <c r="O80" s="114"/>
      <c r="P80" s="114"/>
      <c r="Q80" s="114"/>
      <c r="R80" s="115"/>
      <c r="S80" s="162" t="str">
        <f>AE79</f>
        <v>DOI&lt;2005</v>
      </c>
      <c r="T80" s="162"/>
      <c r="U80" s="162"/>
      <c r="V80" s="162"/>
      <c r="W80" s="162"/>
      <c r="X80" s="15" t="s">
        <v>147</v>
      </c>
      <c r="Y80" s="291">
        <v>0.94</v>
      </c>
      <c r="Z80" s="292"/>
      <c r="AA80" s="292"/>
      <c r="AB80" s="146" t="s">
        <v>148</v>
      </c>
      <c r="AC80" s="146"/>
      <c r="AD80" s="146"/>
      <c r="AE80" s="276" t="str">
        <f>IF(J3&lt;AL5,"DOI&lt;2005",IF(AND(S80*Y80&gt;0,S80*Y80&lt;0.01),0.01,ROUND(S80*Y80,2)))</f>
        <v>DOI&lt;2005</v>
      </c>
      <c r="AF80" s="277"/>
      <c r="AG80" s="277"/>
      <c r="AH80" s="278"/>
      <c r="AI80" s="8"/>
      <c r="AJ80" s="8"/>
      <c r="AK80" s="8"/>
      <c r="AL80" s="10"/>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row>
    <row r="81" spans="2:193" ht="27" customHeight="1" x14ac:dyDescent="0.3">
      <c r="B81" s="160" t="s">
        <v>38</v>
      </c>
      <c r="C81" s="160"/>
      <c r="D81" s="160"/>
      <c r="E81" s="160"/>
      <c r="F81" s="160"/>
      <c r="G81" s="160"/>
      <c r="H81" s="160"/>
      <c r="I81" s="160"/>
      <c r="J81" s="160"/>
      <c r="K81" s="160"/>
      <c r="L81" s="160"/>
      <c r="M81" s="160"/>
      <c r="N81" s="160"/>
      <c r="O81" s="160"/>
      <c r="P81" s="160"/>
      <c r="Q81" s="160"/>
      <c r="R81" s="160"/>
      <c r="S81" s="279" t="str">
        <f>AE80</f>
        <v>DOI&lt;2005</v>
      </c>
      <c r="T81" s="280"/>
      <c r="U81" s="280"/>
      <c r="V81" s="280"/>
      <c r="W81" s="281"/>
      <c r="X81" s="15" t="s">
        <v>147</v>
      </c>
      <c r="Y81" s="322">
        <f>SAWW!D4</f>
        <v>0</v>
      </c>
      <c r="Z81" s="322"/>
      <c r="AA81" s="322"/>
      <c r="AB81" s="146" t="s">
        <v>192</v>
      </c>
      <c r="AC81" s="146"/>
      <c r="AD81" s="146"/>
      <c r="AE81" s="133" t="str">
        <f>IF(J3&lt;AL5,"DOI&lt;2005",ROUND(S81*Y81*100,2))</f>
        <v>DOI&lt;2005</v>
      </c>
      <c r="AF81" s="133"/>
      <c r="AG81" s="133"/>
      <c r="AH81" s="133"/>
      <c r="AI81" s="8"/>
      <c r="AJ81" s="8"/>
      <c r="AK81" s="8"/>
      <c r="AL81" s="10"/>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row>
    <row r="82" spans="2:193" ht="18" customHeight="1" x14ac:dyDescent="0.3">
      <c r="B82" s="161" t="str">
        <f>IF(OR(J3&lt;AL5,,S77=0),"",IF(AE75&gt;AE81,AL77,IF(AE82&gt;=AE75,AL78,"")))</f>
        <v/>
      </c>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33" t="str">
        <f>IF(J3&lt;AL5,"DOI&lt;2005",IF(S77=0,0,MAX(AE75,AE81)))</f>
        <v>DOI&lt;2005</v>
      </c>
      <c r="AF82" s="133"/>
      <c r="AG82" s="133"/>
      <c r="AH82" s="133"/>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row>
    <row r="83" spans="2:193" ht="18" customHeight="1" x14ac:dyDescent="0.3">
      <c r="B83" s="19"/>
      <c r="C83" s="19"/>
      <c r="D83" s="19"/>
      <c r="E83" s="19"/>
      <c r="F83" s="19"/>
      <c r="G83" s="19"/>
      <c r="H83" s="19"/>
      <c r="I83" s="19"/>
      <c r="J83" s="19"/>
      <c r="K83" s="19"/>
      <c r="L83" s="19"/>
      <c r="M83" s="19"/>
      <c r="N83" s="19"/>
      <c r="O83" s="49"/>
      <c r="P83" s="49"/>
      <c r="Q83" s="49"/>
      <c r="R83" s="49"/>
      <c r="S83" s="49"/>
      <c r="T83" s="36"/>
      <c r="U83" s="36"/>
      <c r="V83" s="36"/>
      <c r="W83" s="36"/>
      <c r="X83" s="36"/>
      <c r="Y83" s="36"/>
      <c r="Z83" s="36"/>
      <c r="AA83" s="36"/>
      <c r="AB83" s="36"/>
      <c r="AC83" s="36"/>
      <c r="AD83" s="48"/>
      <c r="AE83" s="48"/>
      <c r="AF83" s="48"/>
      <c r="AG83" s="48"/>
      <c r="AH83" s="4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row>
    <row r="84" spans="2:193" ht="31.5" customHeight="1" x14ac:dyDescent="0.3">
      <c r="B84" s="148" t="s">
        <v>125</v>
      </c>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50"/>
      <c r="AI84" s="8"/>
      <c r="AJ84" s="8"/>
      <c r="AK84" s="8"/>
      <c r="AL84" s="73"/>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row>
    <row r="86" spans="2:193" ht="27.75" customHeight="1" x14ac:dyDescent="0.3">
      <c r="B86" s="141" t="s">
        <v>115</v>
      </c>
      <c r="C86" s="142"/>
      <c r="D86" s="142"/>
      <c r="E86" s="142"/>
      <c r="F86" s="142"/>
      <c r="G86" s="142"/>
      <c r="H86" s="142"/>
      <c r="I86" s="142"/>
      <c r="J86" s="142"/>
      <c r="K86" s="142"/>
      <c r="L86" s="143"/>
      <c r="M86" s="131" t="s">
        <v>149</v>
      </c>
      <c r="N86" s="131"/>
      <c r="O86" s="131"/>
      <c r="P86" s="131"/>
      <c r="Q86" s="59"/>
      <c r="R86" s="129" t="s">
        <v>209</v>
      </c>
      <c r="S86" s="129"/>
      <c r="T86" s="129"/>
      <c r="U86" s="59"/>
      <c r="V86" s="131" t="s">
        <v>48</v>
      </c>
      <c r="W86" s="131"/>
      <c r="X86" s="131"/>
      <c r="Y86" s="6"/>
      <c r="Z86" s="131" t="s">
        <v>171</v>
      </c>
      <c r="AA86" s="131"/>
      <c r="AB86" s="131"/>
      <c r="AC86" s="131"/>
      <c r="AD86" s="59"/>
      <c r="AE86" s="138" t="s">
        <v>0</v>
      </c>
      <c r="AF86" s="138"/>
      <c r="AG86" s="138"/>
      <c r="AH86" s="138"/>
      <c r="AI86" s="8"/>
      <c r="AJ86" s="8"/>
      <c r="AK86" s="8"/>
      <c r="AL86" s="34"/>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row>
    <row r="87" spans="2:193" ht="18" customHeight="1" x14ac:dyDescent="0.3">
      <c r="B87" s="137" t="s">
        <v>39</v>
      </c>
      <c r="C87" s="137"/>
      <c r="D87" s="137"/>
      <c r="E87" s="137"/>
      <c r="F87" s="137"/>
      <c r="G87" s="137"/>
      <c r="H87" s="137"/>
      <c r="I87" s="137"/>
      <c r="J87" s="137"/>
      <c r="K87" s="137"/>
      <c r="L87" s="137"/>
      <c r="M87" s="145">
        <f>IF(J3&gt;=AL5,"DOI&gt;2004",IF(AND(AP72&gt;0,AP72&lt;0.01),0.01,ROUND(AP72,2)))</f>
        <v>0</v>
      </c>
      <c r="N87" s="145"/>
      <c r="O87" s="145"/>
      <c r="P87" s="145"/>
      <c r="Q87" s="15" t="s">
        <v>147</v>
      </c>
      <c r="R87" s="140">
        <v>100</v>
      </c>
      <c r="S87" s="140"/>
      <c r="T87" s="140"/>
      <c r="U87" s="15" t="s">
        <v>148</v>
      </c>
      <c r="V87" s="144">
        <f>IF(J3&gt;=AL5,"DOI&gt;2004",ROUND(M87*R87,2))</f>
        <v>0</v>
      </c>
      <c r="W87" s="144"/>
      <c r="X87" s="144"/>
      <c r="Y87" s="15" t="s">
        <v>147</v>
      </c>
      <c r="Z87" s="125" t="e">
        <f>'Dol Per Deg'!H11</f>
        <v>#N/A</v>
      </c>
      <c r="AA87" s="125"/>
      <c r="AB87" s="125"/>
      <c r="AC87" s="125"/>
      <c r="AD87" s="15" t="s">
        <v>148</v>
      </c>
      <c r="AE87" s="139" t="e">
        <f>IF(J3&gt;=AL5,"DOI&gt;2004",ROUND(M87*R87*Z87,2))</f>
        <v>#N/A</v>
      </c>
      <c r="AF87" s="139"/>
      <c r="AG87" s="139"/>
      <c r="AH87" s="139"/>
      <c r="AI87" s="8"/>
      <c r="AJ87" s="8"/>
      <c r="AK87" s="8"/>
      <c r="AL87" s="34"/>
      <c r="AM87" s="34"/>
      <c r="AN87" s="47"/>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row>
    <row r="88" spans="2:193" ht="18" customHeight="1" x14ac:dyDescent="0.3">
      <c r="B88" s="137" t="s">
        <v>40</v>
      </c>
      <c r="C88" s="137"/>
      <c r="D88" s="137"/>
      <c r="E88" s="137"/>
      <c r="F88" s="137"/>
      <c r="G88" s="137"/>
      <c r="H88" s="137"/>
      <c r="I88" s="137"/>
      <c r="J88" s="137"/>
      <c r="K88" s="137"/>
      <c r="L88" s="137"/>
      <c r="M88" s="145">
        <f>IF(J3&gt;=AL5,"DOI&gt;2004",IF(AND(AQ72&gt;0,AQ72&lt;0.01),0.01,ROUND(AQ72,2)))</f>
        <v>0</v>
      </c>
      <c r="N88" s="145"/>
      <c r="O88" s="145"/>
      <c r="P88" s="145"/>
      <c r="Q88" s="15" t="s">
        <v>147</v>
      </c>
      <c r="R88" s="140">
        <v>100</v>
      </c>
      <c r="S88" s="140"/>
      <c r="T88" s="140"/>
      <c r="U88" s="15" t="s">
        <v>148</v>
      </c>
      <c r="V88" s="144">
        <f>IF(J3&gt;=AL5,"DOI&gt;2004",ROUND(M88*R88,2))</f>
        <v>0</v>
      </c>
      <c r="W88" s="144"/>
      <c r="X88" s="144"/>
      <c r="Y88" s="15" t="s">
        <v>147</v>
      </c>
      <c r="Z88" s="125" t="e">
        <f>'Dol Per Deg'!H11</f>
        <v>#N/A</v>
      </c>
      <c r="AA88" s="125"/>
      <c r="AB88" s="125"/>
      <c r="AC88" s="125"/>
      <c r="AD88" s="15" t="s">
        <v>148</v>
      </c>
      <c r="AE88" s="139" t="e">
        <f>IF(J3&gt;=AL5,"DOI&gt;2004",ROUND(M88*R88*Z88,2))</f>
        <v>#N/A</v>
      </c>
      <c r="AF88" s="139"/>
      <c r="AG88" s="139"/>
      <c r="AH88" s="139"/>
      <c r="AI88" s="8"/>
      <c r="AJ88" s="8"/>
      <c r="AK88" s="8"/>
      <c r="AL88" s="34"/>
      <c r="AM88" s="34"/>
      <c r="AN88" s="47"/>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row>
    <row r="89" spans="2:193" ht="14.25" customHeight="1" x14ac:dyDescent="0.3">
      <c r="B89" s="152" t="s">
        <v>127</v>
      </c>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4"/>
      <c r="AD89" s="15" t="s">
        <v>148</v>
      </c>
      <c r="AE89" s="151" t="e">
        <f>IF(J3&gt;=AL5,"DOI&gt;2004",SUM(AE87:AH88))</f>
        <v>#N/A</v>
      </c>
      <c r="AF89" s="151"/>
      <c r="AG89" s="151"/>
      <c r="AH89" s="151"/>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row>
    <row r="90" spans="2:193" ht="12" customHeight="1" x14ac:dyDescent="0.3">
      <c r="B90" s="126"/>
      <c r="C90" s="127"/>
      <c r="D90" s="127"/>
      <c r="E90" s="127"/>
      <c r="F90" s="127"/>
      <c r="G90" s="127"/>
      <c r="H90" s="127"/>
      <c r="I90" s="127"/>
      <c r="J90" s="127"/>
      <c r="K90" s="127"/>
      <c r="L90" s="127"/>
      <c r="M90" s="127"/>
      <c r="N90" s="127"/>
      <c r="O90" s="127"/>
      <c r="P90" s="127"/>
      <c r="Q90" s="127"/>
      <c r="R90" s="127"/>
      <c r="AH90" s="66"/>
      <c r="AI90" s="8"/>
      <c r="AJ90" s="8"/>
      <c r="AK90" s="8"/>
      <c r="AL90" s="10"/>
      <c r="AM90" s="10"/>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row>
    <row r="91" spans="2:193" ht="18" customHeight="1" x14ac:dyDescent="0.3">
      <c r="B91" s="128" t="s">
        <v>51</v>
      </c>
      <c r="C91" s="128"/>
      <c r="D91" s="128"/>
      <c r="E91" s="128"/>
      <c r="F91" s="128"/>
      <c r="G91" s="128"/>
      <c r="H91" s="128"/>
      <c r="I91" s="128"/>
      <c r="J91" s="128"/>
      <c r="K91" s="128"/>
      <c r="L91" s="128"/>
      <c r="M91" s="128"/>
      <c r="N91" s="128"/>
      <c r="O91" s="128"/>
      <c r="P91" s="128"/>
      <c r="Q91" s="128"/>
      <c r="R91" s="128"/>
      <c r="S91" s="130">
        <f>IF(J3&gt;=AL5,"DOI&gt;2004",MIN(AP72,AQ72))</f>
        <v>0</v>
      </c>
      <c r="T91" s="130"/>
      <c r="U91" s="130"/>
      <c r="V91" s="130"/>
      <c r="W91" s="130"/>
      <c r="X91" s="15" t="s">
        <v>147</v>
      </c>
      <c r="Y91" s="140">
        <v>3</v>
      </c>
      <c r="Z91" s="140"/>
      <c r="AA91" s="140"/>
      <c r="AB91" s="140"/>
      <c r="AC91" s="140"/>
      <c r="AD91" s="15" t="s">
        <v>148</v>
      </c>
      <c r="AE91" s="130">
        <f>IF(J3&gt;=AL5,"DOI&gt;2004",S91*Y91)</f>
        <v>0</v>
      </c>
      <c r="AF91" s="130"/>
      <c r="AG91" s="130"/>
      <c r="AH91" s="130"/>
      <c r="AI91" s="8"/>
      <c r="AJ91" s="8"/>
      <c r="AK91" s="8"/>
      <c r="AL91" s="10"/>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row>
    <row r="92" spans="2:193" ht="18" customHeight="1" x14ac:dyDescent="0.3">
      <c r="B92" s="128" t="s">
        <v>52</v>
      </c>
      <c r="C92" s="128"/>
      <c r="D92" s="128"/>
      <c r="E92" s="128"/>
      <c r="F92" s="128"/>
      <c r="G92" s="128"/>
      <c r="H92" s="128"/>
      <c r="I92" s="128"/>
      <c r="J92" s="128"/>
      <c r="K92" s="128"/>
      <c r="L92" s="128"/>
      <c r="M92" s="128"/>
      <c r="N92" s="128"/>
      <c r="O92" s="128"/>
      <c r="P92" s="128"/>
      <c r="Q92" s="128"/>
      <c r="R92" s="128"/>
      <c r="S92" s="130">
        <f>AE91</f>
        <v>0</v>
      </c>
      <c r="T92" s="130"/>
      <c r="U92" s="130"/>
      <c r="V92" s="130"/>
      <c r="W92" s="130"/>
      <c r="X92" s="15" t="s">
        <v>119</v>
      </c>
      <c r="Y92" s="130">
        <f>IF(J3&gt;=AL5,"DOI&gt;2004",MAX(AP72,AQ72))</f>
        <v>0</v>
      </c>
      <c r="Z92" s="130"/>
      <c r="AA92" s="130"/>
      <c r="AB92" s="130"/>
      <c r="AC92" s="130"/>
      <c r="AD92" s="15" t="s">
        <v>148</v>
      </c>
      <c r="AE92" s="130">
        <f>IF(J3&gt;=AL5,"DOI&gt;2004",S92+Y92)</f>
        <v>0</v>
      </c>
      <c r="AF92" s="130"/>
      <c r="AG92" s="130"/>
      <c r="AH92" s="130"/>
      <c r="AI92" s="8"/>
      <c r="AJ92" s="8"/>
      <c r="AK92" s="8"/>
      <c r="AL92" s="10"/>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row>
    <row r="93" spans="2:193" ht="18" customHeight="1" x14ac:dyDescent="0.3">
      <c r="B93" s="128" t="s">
        <v>53</v>
      </c>
      <c r="C93" s="128"/>
      <c r="D93" s="128"/>
      <c r="E93" s="128"/>
      <c r="F93" s="128"/>
      <c r="G93" s="128"/>
      <c r="H93" s="128"/>
      <c r="I93" s="128"/>
      <c r="J93" s="128"/>
      <c r="K93" s="128"/>
      <c r="L93" s="128"/>
      <c r="M93" s="128"/>
      <c r="N93" s="128"/>
      <c r="O93" s="128"/>
      <c r="P93" s="128"/>
      <c r="Q93" s="128"/>
      <c r="R93" s="128"/>
      <c r="S93" s="130">
        <f>AE92</f>
        <v>0</v>
      </c>
      <c r="T93" s="130"/>
      <c r="U93" s="130"/>
      <c r="V93" s="130"/>
      <c r="W93" s="130"/>
      <c r="X93" s="15" t="s">
        <v>218</v>
      </c>
      <c r="Y93" s="140">
        <v>4</v>
      </c>
      <c r="Z93" s="140"/>
      <c r="AA93" s="140"/>
      <c r="AB93" s="140"/>
      <c r="AC93" s="140"/>
      <c r="AD93" s="15" t="s">
        <v>148</v>
      </c>
      <c r="AE93" s="147">
        <f>IF(J3&gt;=AL5,"DOI&gt;2004",IF(AND(S93/Y93&gt;0,S93/Y93&lt;0.01),0.01,ROUND(S93/Y93,2)))</f>
        <v>0</v>
      </c>
      <c r="AF93" s="147"/>
      <c r="AG93" s="147"/>
      <c r="AH93" s="147"/>
      <c r="AI93" s="8"/>
      <c r="AJ93" s="8"/>
      <c r="AK93" s="8"/>
      <c r="AL93" s="10"/>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row>
    <row r="94" spans="2:193" ht="12" customHeight="1" x14ac:dyDescent="0.3">
      <c r="B94" s="35"/>
      <c r="C94" s="8"/>
      <c r="D94" s="8"/>
      <c r="E94" s="8"/>
      <c r="F94" s="8"/>
      <c r="G94" s="8"/>
      <c r="H94" s="8"/>
      <c r="I94" s="8"/>
      <c r="J94" s="8"/>
      <c r="K94" s="8"/>
      <c r="L94" s="8"/>
      <c r="M94" s="8"/>
      <c r="N94" s="8"/>
      <c r="O94" s="8"/>
      <c r="P94" s="8"/>
      <c r="Q94" s="8"/>
      <c r="R94" s="8"/>
      <c r="S94" s="72"/>
      <c r="T94" s="72"/>
      <c r="U94" s="72"/>
      <c r="V94" s="72"/>
      <c r="W94" s="72"/>
      <c r="X94" s="2"/>
      <c r="Y94" s="2"/>
      <c r="Z94" s="2"/>
      <c r="AA94" s="2"/>
      <c r="AB94" s="2"/>
      <c r="AC94" s="2"/>
      <c r="AD94" s="2"/>
      <c r="AE94" s="72"/>
      <c r="AF94" s="72"/>
      <c r="AG94" s="72"/>
      <c r="AH94" s="86"/>
      <c r="AI94" s="8"/>
      <c r="AJ94" s="8"/>
      <c r="AK94" s="8"/>
      <c r="AL94" s="10"/>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row>
    <row r="95" spans="2:193" ht="27.75" customHeight="1" x14ac:dyDescent="0.3">
      <c r="B95" s="131"/>
      <c r="C95" s="131"/>
      <c r="D95" s="131"/>
      <c r="E95" s="131"/>
      <c r="F95" s="131"/>
      <c r="G95" s="131"/>
      <c r="H95" s="131"/>
      <c r="I95" s="131"/>
      <c r="J95" s="131"/>
      <c r="K95" s="131"/>
      <c r="L95" s="131"/>
      <c r="M95" s="131" t="s">
        <v>149</v>
      </c>
      <c r="N95" s="131"/>
      <c r="O95" s="131"/>
      <c r="P95" s="131"/>
      <c r="Q95" s="59"/>
      <c r="R95" s="129" t="s">
        <v>209</v>
      </c>
      <c r="S95" s="129"/>
      <c r="T95" s="129"/>
      <c r="U95" s="59"/>
      <c r="V95" s="131" t="s">
        <v>48</v>
      </c>
      <c r="W95" s="131"/>
      <c r="X95" s="131"/>
      <c r="Y95" s="6"/>
      <c r="Z95" s="131" t="s">
        <v>171</v>
      </c>
      <c r="AA95" s="131"/>
      <c r="AB95" s="131"/>
      <c r="AC95" s="131"/>
      <c r="AD95" s="59"/>
      <c r="AE95" s="138" t="s">
        <v>0</v>
      </c>
      <c r="AF95" s="138"/>
      <c r="AG95" s="138"/>
      <c r="AH95" s="138"/>
      <c r="AI95" s="8"/>
      <c r="AJ95" s="8"/>
      <c r="AK95" s="8"/>
      <c r="AL95" s="34"/>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row>
    <row r="96" spans="2:193" ht="18" customHeight="1" x14ac:dyDescent="0.3">
      <c r="B96" s="157" t="s">
        <v>41</v>
      </c>
      <c r="C96" s="158"/>
      <c r="D96" s="158"/>
      <c r="E96" s="158"/>
      <c r="F96" s="158"/>
      <c r="G96" s="158"/>
      <c r="H96" s="158"/>
      <c r="I96" s="158"/>
      <c r="J96" s="158"/>
      <c r="K96" s="158"/>
      <c r="L96" s="159"/>
      <c r="M96" s="145">
        <f>AE93</f>
        <v>0</v>
      </c>
      <c r="N96" s="145"/>
      <c r="O96" s="145"/>
      <c r="P96" s="145"/>
      <c r="Q96" s="15" t="s">
        <v>147</v>
      </c>
      <c r="R96" s="140">
        <v>300</v>
      </c>
      <c r="S96" s="140"/>
      <c r="T96" s="140"/>
      <c r="U96" s="15" t="s">
        <v>148</v>
      </c>
      <c r="V96" s="144">
        <f>IF(J3&gt;=AL5,"DOI&gt;2004",ROUND(M96*R96,2))</f>
        <v>0</v>
      </c>
      <c r="W96" s="144"/>
      <c r="X96" s="144"/>
      <c r="Y96" s="15" t="s">
        <v>147</v>
      </c>
      <c r="Z96" s="125" t="e">
        <f>'Dol Per Deg'!H11</f>
        <v>#N/A</v>
      </c>
      <c r="AA96" s="125"/>
      <c r="AB96" s="125"/>
      <c r="AC96" s="125"/>
      <c r="AD96" s="15" t="s">
        <v>148</v>
      </c>
      <c r="AE96" s="133" t="e">
        <f>IF(J3&gt;=AL5,"DOI&gt;2004",ROUND(V96*Z96,2))</f>
        <v>#N/A</v>
      </c>
      <c r="AF96" s="133"/>
      <c r="AG96" s="133"/>
      <c r="AH96" s="133"/>
      <c r="AI96" s="8"/>
      <c r="AJ96" s="8"/>
      <c r="AK96" s="8"/>
      <c r="AL96" s="34"/>
      <c r="AM96" s="34"/>
      <c r="AN96" s="47"/>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row>
    <row r="97" spans="2:193" ht="18" customHeight="1" x14ac:dyDescent="0.3">
      <c r="B97" s="132" t="e">
        <f>IF(OR(J3&gt;=AL5,AE97=0),"",IF(AE89&gt;AE96,AL77,IF(AE96&gt;=AE89,AL78,"")))</f>
        <v>#N/A</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3" t="e">
        <f>IF(J3&gt;=AL5,"DOI&gt;2004",MAX(AE89,AE96))</f>
        <v>#N/A</v>
      </c>
      <c r="AF97" s="133"/>
      <c r="AG97" s="133"/>
      <c r="AH97" s="133"/>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row>
    <row r="98" spans="2:193" ht="30" customHeight="1" x14ac:dyDescent="0.3">
      <c r="B98" s="307" t="s">
        <v>236</v>
      </c>
      <c r="C98" s="308"/>
      <c r="D98" s="308"/>
      <c r="E98" s="308"/>
      <c r="F98" s="308"/>
      <c r="G98" s="308"/>
      <c r="H98" s="308"/>
      <c r="I98" s="308"/>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8"/>
      <c r="AJ98" s="8"/>
      <c r="AK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row>
    <row r="99" spans="2:193" ht="18" customHeight="1" x14ac:dyDescent="0.3">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row>
    <row r="100" spans="2:193" ht="18" customHeight="1" x14ac:dyDescent="0.3">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row>
    <row r="101" spans="2:193" ht="18" customHeight="1" x14ac:dyDescent="0.3">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row>
    <row r="102" spans="2:193" ht="18" hidden="1" customHeight="1" x14ac:dyDescent="0.3">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row>
    <row r="103" spans="2:193" ht="18" hidden="1" customHeight="1" x14ac:dyDescent="0.3">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row>
    <row r="104" spans="2:193" ht="18" hidden="1" customHeight="1" x14ac:dyDescent="0.3">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row>
    <row r="105" spans="2:193" ht="18" hidden="1" customHeight="1" x14ac:dyDescent="0.3">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row>
    <row r="106" spans="2:193" ht="18" hidden="1" customHeight="1" x14ac:dyDescent="0.3">
      <c r="B106" s="19"/>
      <c r="C106" s="112" t="s">
        <v>229</v>
      </c>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I106" s="8"/>
      <c r="AJ106" s="8"/>
      <c r="AK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row>
    <row r="107" spans="2:193" ht="18" hidden="1" customHeight="1" x14ac:dyDescent="0.3">
      <c r="B107" s="19"/>
      <c r="C107" s="19">
        <v>0.01</v>
      </c>
      <c r="D107" s="19">
        <v>0.99</v>
      </c>
      <c r="E107" s="19"/>
      <c r="F107" s="19"/>
      <c r="G107" s="19"/>
      <c r="H107" s="19"/>
      <c r="I107" s="19"/>
      <c r="J107" s="19"/>
      <c r="K107" s="19"/>
      <c r="L107" s="19"/>
      <c r="M107" s="19"/>
      <c r="N107" s="54"/>
      <c r="O107" s="54"/>
      <c r="P107" s="54"/>
      <c r="Q107" s="54"/>
      <c r="R107" s="54"/>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row>
    <row r="108" spans="2:193" hidden="1" x14ac:dyDescent="0.3">
      <c r="C108" s="1" t="s">
        <v>156</v>
      </c>
      <c r="D108" s="1" t="s">
        <v>157</v>
      </c>
      <c r="E108" s="1" t="s">
        <v>54</v>
      </c>
      <c r="F108" s="1" t="s">
        <v>84</v>
      </c>
      <c r="G108" s="1" t="s">
        <v>55</v>
      </c>
      <c r="H108" s="1" t="s">
        <v>56</v>
      </c>
      <c r="I108" s="1" t="s">
        <v>57</v>
      </c>
      <c r="J108" s="1" t="s">
        <v>58</v>
      </c>
      <c r="K108" s="1" t="s">
        <v>59</v>
      </c>
      <c r="L108" s="1" t="s">
        <v>60</v>
      </c>
      <c r="M108" s="1" t="s">
        <v>61</v>
      </c>
      <c r="N108" s="1" t="s">
        <v>62</v>
      </c>
      <c r="O108" s="1" t="s">
        <v>63</v>
      </c>
      <c r="P108" s="1" t="s">
        <v>64</v>
      </c>
      <c r="Q108" s="1" t="s">
        <v>65</v>
      </c>
      <c r="R108" s="1" t="s">
        <v>66</v>
      </c>
      <c r="S108" s="1" t="s">
        <v>67</v>
      </c>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row>
    <row r="109" spans="2:193" hidden="1" x14ac:dyDescent="0.3">
      <c r="C109" s="1">
        <v>0</v>
      </c>
      <c r="D109" s="1">
        <v>0</v>
      </c>
      <c r="E109" s="1">
        <v>5</v>
      </c>
      <c r="F109" s="1">
        <v>10</v>
      </c>
      <c r="G109" s="1">
        <v>15</v>
      </c>
      <c r="H109" s="1">
        <v>25</v>
      </c>
      <c r="I109" s="1">
        <v>35</v>
      </c>
      <c r="J109" s="1">
        <v>40</v>
      </c>
      <c r="K109" s="1">
        <v>45</v>
      </c>
      <c r="L109" s="1">
        <v>50</v>
      </c>
      <c r="M109" s="1">
        <v>60</v>
      </c>
      <c r="N109" s="1">
        <v>70</v>
      </c>
      <c r="O109" s="1">
        <v>80</v>
      </c>
      <c r="P109" s="1">
        <v>85</v>
      </c>
      <c r="Q109" s="1">
        <v>90</v>
      </c>
      <c r="R109" s="1">
        <v>95</v>
      </c>
      <c r="S109" s="1">
        <v>100</v>
      </c>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row>
    <row r="110" spans="2:193" s="16" customFormat="1" hidden="1" x14ac:dyDescent="0.3">
      <c r="C110" s="16" t="s">
        <v>68</v>
      </c>
      <c r="D110" s="16" t="s">
        <v>69</v>
      </c>
      <c r="E110" s="16" t="s">
        <v>70</v>
      </c>
      <c r="F110" s="16" t="s">
        <v>43</v>
      </c>
      <c r="G110" s="16" t="s">
        <v>44</v>
      </c>
      <c r="H110" s="16" t="s">
        <v>45</v>
      </c>
      <c r="I110" s="16" t="s">
        <v>46</v>
      </c>
      <c r="J110" s="16" t="s">
        <v>193</v>
      </c>
      <c r="K110" s="16" t="s">
        <v>194</v>
      </c>
      <c r="L110" s="16" t="s">
        <v>195</v>
      </c>
      <c r="M110" s="16" t="s">
        <v>196</v>
      </c>
      <c r="N110" s="16" t="s">
        <v>197</v>
      </c>
      <c r="O110" s="16" t="s">
        <v>198</v>
      </c>
      <c r="P110" s="16" t="s">
        <v>199</v>
      </c>
      <c r="Q110" s="16" t="s">
        <v>200</v>
      </c>
      <c r="R110" s="1" t="s">
        <v>66</v>
      </c>
      <c r="S110" s="1" t="s">
        <v>67</v>
      </c>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8"/>
      <c r="DF110" s="8"/>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row>
    <row r="111" spans="2:193" hidden="1" x14ac:dyDescent="0.3">
      <c r="C111" s="1">
        <v>0</v>
      </c>
      <c r="D111" s="1">
        <v>0</v>
      </c>
      <c r="E111" s="1">
        <v>5</v>
      </c>
      <c r="F111" s="1">
        <v>10</v>
      </c>
      <c r="G111" s="1">
        <v>15</v>
      </c>
      <c r="H111" s="1">
        <v>25</v>
      </c>
      <c r="I111" s="1">
        <v>35</v>
      </c>
      <c r="J111" s="1">
        <v>40</v>
      </c>
      <c r="K111" s="1">
        <v>45</v>
      </c>
      <c r="L111" s="1">
        <v>50</v>
      </c>
      <c r="M111" s="1">
        <v>60</v>
      </c>
      <c r="N111" s="1">
        <v>70</v>
      </c>
      <c r="O111" s="1">
        <v>80</v>
      </c>
      <c r="P111" s="1">
        <v>85</v>
      </c>
      <c r="Q111" s="1">
        <v>90</v>
      </c>
      <c r="R111" s="1">
        <v>95</v>
      </c>
      <c r="S111" s="1">
        <v>100</v>
      </c>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row>
    <row r="112" spans="2:193" hidden="1" x14ac:dyDescent="0.3">
      <c r="C112" s="1" t="s">
        <v>201</v>
      </c>
      <c r="D112" s="1" t="s">
        <v>202</v>
      </c>
      <c r="E112" s="1" t="s">
        <v>203</v>
      </c>
      <c r="F112" s="1" t="s">
        <v>204</v>
      </c>
      <c r="G112" s="1" t="s">
        <v>205</v>
      </c>
      <c r="H112" s="1" t="s">
        <v>206</v>
      </c>
      <c r="I112" s="1" t="s">
        <v>207</v>
      </c>
      <c r="J112" s="1" t="s">
        <v>208</v>
      </c>
      <c r="K112" s="1" t="s">
        <v>49</v>
      </c>
      <c r="L112" s="1" t="s">
        <v>50</v>
      </c>
      <c r="M112" s="1" t="s">
        <v>128</v>
      </c>
      <c r="N112" s="1" t="s">
        <v>97</v>
      </c>
      <c r="O112" s="1" t="s">
        <v>98</v>
      </c>
      <c r="P112" s="1" t="s">
        <v>99</v>
      </c>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row>
    <row r="113" spans="2:253" hidden="1" x14ac:dyDescent="0.3">
      <c r="C113" s="1">
        <v>0</v>
      </c>
      <c r="D113" s="1">
        <v>0</v>
      </c>
      <c r="E113" s="1">
        <v>5</v>
      </c>
      <c r="F113" s="1">
        <v>7</v>
      </c>
      <c r="G113" s="1">
        <v>10</v>
      </c>
      <c r="H113" s="1">
        <v>50</v>
      </c>
      <c r="I113" s="1">
        <v>55</v>
      </c>
      <c r="J113" s="1">
        <v>60</v>
      </c>
      <c r="K113" s="1">
        <v>80</v>
      </c>
      <c r="L113" s="1">
        <v>85</v>
      </c>
      <c r="M113" s="1">
        <v>87</v>
      </c>
      <c r="N113" s="1">
        <v>90</v>
      </c>
      <c r="O113" s="1">
        <v>95</v>
      </c>
      <c r="P113" s="1">
        <v>98</v>
      </c>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row>
    <row r="114" spans="2:253" hidden="1" x14ac:dyDescent="0.3">
      <c r="C114" s="1">
        <v>1</v>
      </c>
      <c r="D114" s="1">
        <v>2</v>
      </c>
      <c r="E114" s="1">
        <v>3</v>
      </c>
      <c r="F114" s="1">
        <v>4</v>
      </c>
      <c r="G114" s="1">
        <v>5</v>
      </c>
      <c r="H114" s="1">
        <v>6</v>
      </c>
      <c r="I114" s="1">
        <v>7</v>
      </c>
      <c r="J114" s="1">
        <v>8</v>
      </c>
      <c r="K114" s="1">
        <v>9</v>
      </c>
      <c r="L114" s="1">
        <v>10</v>
      </c>
      <c r="M114" s="1">
        <v>11</v>
      </c>
      <c r="N114" s="1">
        <v>12</v>
      </c>
      <c r="O114" s="1">
        <v>13</v>
      </c>
      <c r="P114" s="1">
        <v>14</v>
      </c>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row>
    <row r="115" spans="2:253" hidden="1" x14ac:dyDescent="0.3">
      <c r="C115" s="1">
        <v>0</v>
      </c>
      <c r="D115" s="1">
        <v>0</v>
      </c>
      <c r="E115" s="1">
        <v>5</v>
      </c>
      <c r="F115" s="1">
        <v>7</v>
      </c>
      <c r="G115" s="1">
        <v>10</v>
      </c>
      <c r="H115" s="1">
        <v>50</v>
      </c>
      <c r="I115" s="1">
        <v>55</v>
      </c>
      <c r="J115" s="1">
        <v>60</v>
      </c>
      <c r="K115" s="1">
        <v>80</v>
      </c>
      <c r="L115" s="1">
        <v>85</v>
      </c>
      <c r="M115" s="1">
        <v>87</v>
      </c>
      <c r="N115" s="1">
        <v>90</v>
      </c>
      <c r="O115" s="1">
        <v>95</v>
      </c>
      <c r="P115" s="1">
        <v>98</v>
      </c>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row>
    <row r="116" spans="2:253" hidden="1" x14ac:dyDescent="0.3">
      <c r="C116" s="1">
        <v>3</v>
      </c>
      <c r="D116" s="1">
        <v>4</v>
      </c>
      <c r="E116" s="1">
        <v>5</v>
      </c>
      <c r="F116" s="1">
        <v>6</v>
      </c>
      <c r="G116" s="1">
        <v>7</v>
      </c>
      <c r="H116" s="1">
        <v>8</v>
      </c>
      <c r="I116" s="1">
        <v>9</v>
      </c>
      <c r="J116" s="1">
        <v>10</v>
      </c>
      <c r="K116" s="1">
        <v>11</v>
      </c>
      <c r="L116" s="1">
        <v>12</v>
      </c>
      <c r="M116" s="1">
        <v>13</v>
      </c>
      <c r="N116" s="1">
        <v>14</v>
      </c>
      <c r="O116" s="1">
        <v>21</v>
      </c>
      <c r="P116" s="1">
        <v>23</v>
      </c>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row>
    <row r="117" spans="2:253" hidden="1" x14ac:dyDescent="0.3">
      <c r="C117" s="1">
        <v>0</v>
      </c>
      <c r="D117" s="1">
        <v>0</v>
      </c>
      <c r="E117" s="1">
        <v>5</v>
      </c>
      <c r="F117" s="1">
        <v>7</v>
      </c>
      <c r="G117" s="1">
        <v>10</v>
      </c>
      <c r="H117" s="1">
        <v>50</v>
      </c>
      <c r="I117" s="1">
        <v>55</v>
      </c>
      <c r="J117" s="1">
        <v>60</v>
      </c>
      <c r="K117" s="1">
        <v>80</v>
      </c>
      <c r="L117" s="1">
        <v>85</v>
      </c>
      <c r="M117" s="1">
        <v>87</v>
      </c>
      <c r="N117" s="1">
        <v>90</v>
      </c>
      <c r="O117" s="1">
        <v>95</v>
      </c>
      <c r="P117" s="1">
        <v>98</v>
      </c>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row>
    <row r="118" spans="2:253" hidden="1" x14ac:dyDescent="0.3">
      <c r="C118" s="1" t="s">
        <v>100</v>
      </c>
      <c r="D118" s="1" t="s">
        <v>101</v>
      </c>
      <c r="E118" s="1" t="s">
        <v>102</v>
      </c>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row>
    <row r="119" spans="2:253" hidden="1" x14ac:dyDescent="0.3">
      <c r="C119" s="1">
        <v>0</v>
      </c>
      <c r="D119" s="1">
        <v>1</v>
      </c>
      <c r="E119" s="1">
        <v>2</v>
      </c>
      <c r="F119" s="1">
        <v>3</v>
      </c>
      <c r="G119" s="1">
        <v>4</v>
      </c>
      <c r="H119" s="1">
        <v>5</v>
      </c>
      <c r="I119" s="1">
        <v>6</v>
      </c>
      <c r="J119" s="1">
        <v>7</v>
      </c>
      <c r="K119" s="1">
        <v>8</v>
      </c>
      <c r="L119" s="1">
        <v>9</v>
      </c>
      <c r="M119" s="1">
        <v>10</v>
      </c>
      <c r="N119" s="1">
        <v>11</v>
      </c>
      <c r="O119" s="1">
        <v>12</v>
      </c>
      <c r="P119" s="1">
        <v>13</v>
      </c>
      <c r="Q119" s="1">
        <v>14</v>
      </c>
      <c r="R119" s="1">
        <v>15</v>
      </c>
      <c r="S119" s="1">
        <v>16</v>
      </c>
      <c r="T119" s="1">
        <v>17</v>
      </c>
      <c r="U119" s="1">
        <v>18</v>
      </c>
      <c r="V119" s="1">
        <v>19</v>
      </c>
      <c r="W119" s="1">
        <v>20</v>
      </c>
      <c r="X119" s="1">
        <v>21</v>
      </c>
      <c r="Y119" s="1">
        <v>22</v>
      </c>
      <c r="Z119" s="1">
        <v>23</v>
      </c>
      <c r="AA119" s="1">
        <v>24</v>
      </c>
      <c r="AB119" s="1">
        <v>25</v>
      </c>
      <c r="AC119" s="1">
        <v>26</v>
      </c>
      <c r="AD119" s="1">
        <v>27</v>
      </c>
      <c r="AE119" s="1">
        <v>28</v>
      </c>
      <c r="AF119" s="1">
        <v>29</v>
      </c>
      <c r="AG119" s="1">
        <v>30</v>
      </c>
      <c r="AH119" s="1">
        <v>31</v>
      </c>
      <c r="AI119" s="8">
        <v>32</v>
      </c>
      <c r="AJ119" s="8">
        <v>33</v>
      </c>
      <c r="AK119" s="8">
        <v>34</v>
      </c>
      <c r="AL119" s="8">
        <v>35</v>
      </c>
      <c r="AM119" s="8">
        <v>36</v>
      </c>
      <c r="AN119" s="8">
        <v>37</v>
      </c>
      <c r="AO119" s="8">
        <v>38</v>
      </c>
      <c r="AP119" s="8">
        <v>39</v>
      </c>
      <c r="AQ119" s="8">
        <v>40</v>
      </c>
      <c r="AR119" s="8">
        <v>41</v>
      </c>
      <c r="AS119" s="8">
        <v>42</v>
      </c>
      <c r="AT119" s="8">
        <v>43</v>
      </c>
      <c r="AU119" s="8">
        <v>44</v>
      </c>
      <c r="AV119" s="8">
        <v>45</v>
      </c>
      <c r="AW119" s="8">
        <v>46</v>
      </c>
      <c r="AX119" s="8">
        <v>47</v>
      </c>
      <c r="AY119" s="8">
        <v>48</v>
      </c>
      <c r="AZ119" s="8">
        <v>49</v>
      </c>
      <c r="BA119" s="8">
        <v>50</v>
      </c>
      <c r="BB119" s="8">
        <v>51</v>
      </c>
      <c r="BC119" s="8">
        <v>52</v>
      </c>
      <c r="BD119" s="8">
        <v>53</v>
      </c>
      <c r="BE119" s="8">
        <v>54</v>
      </c>
      <c r="BF119" s="8">
        <v>55</v>
      </c>
      <c r="BG119" s="8">
        <v>56</v>
      </c>
      <c r="BH119" s="8">
        <v>57</v>
      </c>
      <c r="BI119" s="8">
        <v>58</v>
      </c>
      <c r="BJ119" s="8">
        <v>59</v>
      </c>
      <c r="BK119" s="8">
        <v>60</v>
      </c>
      <c r="BL119" s="8">
        <v>61</v>
      </c>
      <c r="BM119" s="8">
        <v>62</v>
      </c>
      <c r="BN119" s="8">
        <v>63</v>
      </c>
      <c r="BO119" s="8">
        <v>64</v>
      </c>
      <c r="BP119" s="8">
        <v>65</v>
      </c>
      <c r="BQ119" s="8">
        <v>66</v>
      </c>
      <c r="BR119" s="8">
        <v>67</v>
      </c>
      <c r="BS119" s="8">
        <v>68</v>
      </c>
      <c r="BT119" s="8">
        <v>69</v>
      </c>
      <c r="BU119" s="8">
        <v>70</v>
      </c>
      <c r="BV119" s="8">
        <v>71</v>
      </c>
      <c r="BW119" s="8">
        <v>72</v>
      </c>
      <c r="BX119" s="8">
        <v>73</v>
      </c>
      <c r="BY119" s="8">
        <v>74</v>
      </c>
      <c r="BZ119" s="8">
        <v>75</v>
      </c>
      <c r="CA119" s="8">
        <v>76</v>
      </c>
      <c r="CB119" s="8">
        <v>77</v>
      </c>
      <c r="CC119" s="8">
        <v>78</v>
      </c>
      <c r="CD119" s="8">
        <v>79</v>
      </c>
      <c r="CE119" s="8">
        <v>80</v>
      </c>
      <c r="CF119" s="8">
        <v>81</v>
      </c>
      <c r="CG119" s="8">
        <v>82</v>
      </c>
      <c r="CH119" s="8">
        <v>83</v>
      </c>
      <c r="CI119" s="8">
        <v>84</v>
      </c>
      <c r="CJ119" s="8">
        <v>85</v>
      </c>
      <c r="CK119" s="8">
        <v>86</v>
      </c>
      <c r="CL119" s="8">
        <v>87</v>
      </c>
      <c r="CM119" s="8">
        <v>88</v>
      </c>
      <c r="CN119" s="8">
        <v>89</v>
      </c>
      <c r="CO119" s="8">
        <v>90</v>
      </c>
      <c r="CP119" s="8">
        <v>91</v>
      </c>
      <c r="CQ119" s="8">
        <v>92</v>
      </c>
      <c r="CR119" s="8">
        <v>93</v>
      </c>
      <c r="CS119" s="8">
        <v>94</v>
      </c>
      <c r="CT119" s="8">
        <v>95</v>
      </c>
      <c r="CU119" s="8">
        <v>96</v>
      </c>
      <c r="CV119" s="8">
        <v>97</v>
      </c>
      <c r="CW119" s="8">
        <v>98</v>
      </c>
      <c r="CX119" s="8">
        <v>99</v>
      </c>
      <c r="CY119" s="8">
        <v>100</v>
      </c>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row>
    <row r="120" spans="2:253" hidden="1" x14ac:dyDescent="0.3">
      <c r="C120" s="27">
        <v>0</v>
      </c>
      <c r="D120" s="27">
        <v>-1</v>
      </c>
      <c r="E120" s="27">
        <v>-2</v>
      </c>
      <c r="F120" s="27">
        <v>-3</v>
      </c>
      <c r="G120" s="27">
        <v>-4</v>
      </c>
      <c r="H120" s="27">
        <v>-5</v>
      </c>
      <c r="I120" s="27">
        <v>-6</v>
      </c>
      <c r="J120" s="27">
        <v>-7</v>
      </c>
      <c r="K120" s="27">
        <v>-8</v>
      </c>
      <c r="L120" s="27">
        <v>-9</v>
      </c>
      <c r="M120" s="27">
        <v>-10</v>
      </c>
      <c r="N120" s="27">
        <v>-11</v>
      </c>
      <c r="O120" s="27">
        <v>-12</v>
      </c>
      <c r="P120" s="27">
        <v>-13</v>
      </c>
      <c r="Q120" s="27">
        <v>-14</v>
      </c>
      <c r="R120" s="27">
        <v>-15</v>
      </c>
      <c r="S120" s="27">
        <v>-16</v>
      </c>
      <c r="T120" s="27">
        <v>-17</v>
      </c>
      <c r="U120" s="27">
        <v>-18</v>
      </c>
      <c r="V120" s="27">
        <v>-19</v>
      </c>
      <c r="W120" s="27">
        <v>-20</v>
      </c>
      <c r="X120" s="27">
        <v>-21</v>
      </c>
      <c r="Y120" s="27">
        <v>-22</v>
      </c>
      <c r="Z120" s="27">
        <v>-23</v>
      </c>
      <c r="AA120" s="27">
        <v>-24</v>
      </c>
      <c r="AB120" s="27">
        <v>-25</v>
      </c>
      <c r="AC120" s="27">
        <v>-26</v>
      </c>
      <c r="AD120" s="27">
        <v>-27</v>
      </c>
      <c r="AE120" s="27">
        <v>-28</v>
      </c>
      <c r="AF120" s="27">
        <v>-29</v>
      </c>
      <c r="AG120" s="27">
        <v>-30</v>
      </c>
      <c r="AH120" s="27">
        <v>-31</v>
      </c>
      <c r="AI120" s="45">
        <v>-32</v>
      </c>
      <c r="AJ120" s="45">
        <v>-33</v>
      </c>
      <c r="AK120" s="45">
        <v>-34</v>
      </c>
      <c r="AL120" s="45">
        <v>-35</v>
      </c>
      <c r="AM120" s="45">
        <v>-36</v>
      </c>
      <c r="AN120" s="45">
        <v>-37</v>
      </c>
      <c r="AO120" s="45">
        <v>-38</v>
      </c>
      <c r="AP120" s="45">
        <v>-39</v>
      </c>
      <c r="AQ120" s="45">
        <v>-40</v>
      </c>
      <c r="AR120" s="45">
        <v>-41</v>
      </c>
      <c r="AS120" s="45">
        <v>-42</v>
      </c>
      <c r="AT120" s="45">
        <v>-43</v>
      </c>
      <c r="AU120" s="45">
        <v>-44</v>
      </c>
      <c r="AV120" s="45">
        <v>-45</v>
      </c>
      <c r="AW120" s="45">
        <v>-46</v>
      </c>
      <c r="AX120" s="45">
        <v>-47</v>
      </c>
      <c r="AY120" s="45">
        <v>-48</v>
      </c>
      <c r="AZ120" s="45">
        <v>-49</v>
      </c>
      <c r="BA120" s="45">
        <v>-50</v>
      </c>
      <c r="BB120" s="45">
        <v>-51</v>
      </c>
      <c r="BC120" s="45">
        <v>-52</v>
      </c>
      <c r="BD120" s="45">
        <v>-53</v>
      </c>
      <c r="BE120" s="45">
        <v>-54</v>
      </c>
      <c r="BF120" s="45">
        <v>-55</v>
      </c>
      <c r="BG120" s="45">
        <v>-56</v>
      </c>
      <c r="BH120" s="45">
        <v>-57</v>
      </c>
      <c r="BI120" s="45">
        <v>-58</v>
      </c>
      <c r="BJ120" s="45">
        <v>-59</v>
      </c>
      <c r="BK120" s="45">
        <v>-60</v>
      </c>
      <c r="BL120" s="45">
        <v>-61</v>
      </c>
      <c r="BM120" s="45">
        <v>-62</v>
      </c>
      <c r="BN120" s="45">
        <v>-63</v>
      </c>
      <c r="BO120" s="45">
        <v>-64</v>
      </c>
      <c r="BP120" s="45">
        <v>-65</v>
      </c>
      <c r="BQ120" s="45">
        <v>-66</v>
      </c>
      <c r="BR120" s="45">
        <v>-67</v>
      </c>
      <c r="BS120" s="45">
        <v>-68</v>
      </c>
      <c r="BT120" s="45">
        <v>-69</v>
      </c>
      <c r="BU120" s="45">
        <v>-70</v>
      </c>
      <c r="BV120" s="45">
        <v>-71</v>
      </c>
      <c r="BW120" s="45">
        <v>-72</v>
      </c>
      <c r="BX120" s="45">
        <v>-73</v>
      </c>
      <c r="BY120" s="45">
        <v>-74</v>
      </c>
      <c r="BZ120" s="45">
        <v>-75</v>
      </c>
      <c r="CA120" s="45">
        <v>-76</v>
      </c>
      <c r="CB120" s="45">
        <v>-77</v>
      </c>
      <c r="CC120" s="45">
        <v>-78</v>
      </c>
      <c r="CD120" s="45">
        <v>-79</v>
      </c>
      <c r="CE120" s="45">
        <v>-80</v>
      </c>
      <c r="CF120" s="45">
        <v>-81</v>
      </c>
      <c r="CG120" s="45">
        <v>-82</v>
      </c>
      <c r="CH120" s="45">
        <v>-83</v>
      </c>
      <c r="CI120" s="45">
        <v>-84</v>
      </c>
      <c r="CJ120" s="45">
        <v>-85</v>
      </c>
      <c r="CK120" s="45">
        <v>-86</v>
      </c>
      <c r="CL120" s="45">
        <v>-87</v>
      </c>
      <c r="CM120" s="45">
        <v>-88</v>
      </c>
      <c r="CN120" s="45">
        <v>-89</v>
      </c>
      <c r="CO120" s="45">
        <v>-90</v>
      </c>
      <c r="CP120" s="45">
        <v>-91</v>
      </c>
      <c r="CQ120" s="45">
        <v>-92</v>
      </c>
      <c r="CR120" s="45">
        <v>-93</v>
      </c>
      <c r="CS120" s="45">
        <v>-94</v>
      </c>
      <c r="CT120" s="45">
        <v>-95</v>
      </c>
      <c r="CU120" s="45">
        <v>-96</v>
      </c>
      <c r="CV120" s="45">
        <v>-97</v>
      </c>
      <c r="CW120" s="45">
        <v>-98</v>
      </c>
      <c r="CX120" s="45">
        <v>-99</v>
      </c>
      <c r="CY120" s="45">
        <v>-100</v>
      </c>
      <c r="CZ120" s="45">
        <v>-101</v>
      </c>
      <c r="DA120" s="45">
        <v>-102</v>
      </c>
      <c r="DB120" s="45">
        <v>-103</v>
      </c>
      <c r="DC120" s="45">
        <v>-104</v>
      </c>
      <c r="DD120" s="45">
        <v>-105</v>
      </c>
      <c r="DE120" s="45">
        <v>-106</v>
      </c>
      <c r="DF120" s="45">
        <v>-107</v>
      </c>
      <c r="DG120" s="45">
        <v>-108</v>
      </c>
      <c r="DH120" s="45">
        <v>-109</v>
      </c>
      <c r="DI120" s="45">
        <v>-110</v>
      </c>
      <c r="DJ120" s="45">
        <v>-111</v>
      </c>
      <c r="DK120" s="45">
        <v>-112</v>
      </c>
      <c r="DL120" s="45">
        <v>-113</v>
      </c>
      <c r="DM120" s="45">
        <v>-114</v>
      </c>
      <c r="DN120" s="45">
        <v>-115</v>
      </c>
      <c r="DO120" s="45">
        <v>-116</v>
      </c>
      <c r="DP120" s="45">
        <v>-117</v>
      </c>
      <c r="DQ120" s="45">
        <v>-118</v>
      </c>
      <c r="DR120" s="45">
        <v>-119</v>
      </c>
      <c r="DS120" s="45">
        <v>-120</v>
      </c>
      <c r="DT120" s="45">
        <v>-121</v>
      </c>
      <c r="DU120" s="45">
        <v>-122</v>
      </c>
      <c r="DV120" s="45">
        <v>-123</v>
      </c>
      <c r="DW120" s="45">
        <v>-124</v>
      </c>
      <c r="DX120" s="45">
        <v>-125</v>
      </c>
      <c r="DY120" s="45">
        <v>-126</v>
      </c>
      <c r="DZ120" s="45">
        <v>-127</v>
      </c>
      <c r="EA120" s="45">
        <v>-128</v>
      </c>
      <c r="EB120" s="45">
        <v>-129</v>
      </c>
      <c r="EC120" s="45">
        <v>-130</v>
      </c>
      <c r="ED120" s="45">
        <v>-131</v>
      </c>
      <c r="EE120" s="45">
        <v>-132</v>
      </c>
      <c r="EF120" s="45">
        <v>-133</v>
      </c>
      <c r="EG120" s="45">
        <v>-134</v>
      </c>
      <c r="EH120" s="45">
        <v>-135</v>
      </c>
      <c r="EI120" s="45">
        <v>-136</v>
      </c>
      <c r="EJ120" s="45">
        <v>-137</v>
      </c>
      <c r="EK120" s="45">
        <v>-138</v>
      </c>
      <c r="EL120" s="45">
        <v>-139</v>
      </c>
      <c r="EM120" s="45">
        <v>-140</v>
      </c>
      <c r="EN120" s="45">
        <v>-141</v>
      </c>
      <c r="EO120" s="45">
        <v>-142</v>
      </c>
      <c r="EP120" s="45">
        <v>-143</v>
      </c>
      <c r="EQ120" s="45">
        <v>-144</v>
      </c>
      <c r="ER120" s="45">
        <v>-145</v>
      </c>
      <c r="ES120" s="45">
        <v>-146</v>
      </c>
      <c r="ET120" s="45">
        <v>-147</v>
      </c>
      <c r="EU120" s="45">
        <v>-148</v>
      </c>
      <c r="EV120" s="45">
        <v>-149</v>
      </c>
      <c r="EW120" s="45">
        <v>-150</v>
      </c>
      <c r="EX120" s="45">
        <v>-151</v>
      </c>
      <c r="EY120" s="45">
        <v>-152</v>
      </c>
      <c r="EZ120" s="45">
        <v>-153</v>
      </c>
      <c r="FA120" s="45">
        <v>-154</v>
      </c>
      <c r="FB120" s="45">
        <v>-155</v>
      </c>
      <c r="FC120" s="45">
        <v>-156</v>
      </c>
      <c r="FD120" s="45">
        <v>-157</v>
      </c>
      <c r="FE120" s="45">
        <v>-158</v>
      </c>
      <c r="FF120" s="45">
        <v>-159</v>
      </c>
      <c r="FG120" s="45">
        <v>-160</v>
      </c>
      <c r="FH120" s="45">
        <v>-161</v>
      </c>
      <c r="FI120" s="45">
        <v>-162</v>
      </c>
      <c r="FJ120" s="45">
        <v>-163</v>
      </c>
      <c r="FK120" s="45">
        <v>-164</v>
      </c>
      <c r="FL120" s="45">
        <v>-165</v>
      </c>
      <c r="FM120" s="45">
        <v>-166</v>
      </c>
      <c r="FN120" s="45">
        <v>-167</v>
      </c>
      <c r="FO120" s="45">
        <v>-168</v>
      </c>
      <c r="FP120" s="45">
        <v>-169</v>
      </c>
      <c r="FQ120" s="45">
        <v>-170</v>
      </c>
      <c r="FR120" s="45">
        <v>-171</v>
      </c>
      <c r="FS120" s="45">
        <v>-172</v>
      </c>
      <c r="FT120" s="45">
        <v>-173</v>
      </c>
      <c r="FU120" s="45">
        <v>-174</v>
      </c>
      <c r="FV120" s="45">
        <v>-175</v>
      </c>
      <c r="FW120" s="45">
        <v>-176</v>
      </c>
      <c r="FX120" s="45">
        <v>-177</v>
      </c>
      <c r="FY120" s="45">
        <v>-178</v>
      </c>
      <c r="FZ120" s="45">
        <v>-179</v>
      </c>
      <c r="GA120" s="45">
        <v>-180</v>
      </c>
      <c r="GB120" s="45">
        <v>-181</v>
      </c>
      <c r="GC120" s="45">
        <v>-182</v>
      </c>
      <c r="GD120" s="45">
        <v>-183</v>
      </c>
      <c r="GE120" s="45">
        <v>-184</v>
      </c>
      <c r="GF120" s="45">
        <v>-185</v>
      </c>
      <c r="GG120" s="45">
        <v>-186</v>
      </c>
      <c r="GH120" s="45">
        <v>-187</v>
      </c>
      <c r="GI120" s="45">
        <v>-188</v>
      </c>
      <c r="GJ120" s="45">
        <v>-189</v>
      </c>
      <c r="GK120" s="45">
        <v>-190</v>
      </c>
      <c r="GL120" s="27">
        <v>-191</v>
      </c>
      <c r="GM120" s="27">
        <v>-192</v>
      </c>
      <c r="GN120" s="27">
        <v>-193</v>
      </c>
      <c r="GO120" s="27">
        <v>-194</v>
      </c>
      <c r="GP120" s="27">
        <v>-195</v>
      </c>
      <c r="GQ120" s="27">
        <v>-196</v>
      </c>
      <c r="GR120" s="27">
        <v>-197</v>
      </c>
      <c r="GS120" s="27">
        <v>-198</v>
      </c>
      <c r="GT120" s="27">
        <v>-199</v>
      </c>
      <c r="GU120" s="27">
        <v>-200</v>
      </c>
      <c r="GV120" s="27">
        <v>-201</v>
      </c>
      <c r="GW120" s="27">
        <v>-202</v>
      </c>
      <c r="GX120" s="27">
        <v>-203</v>
      </c>
      <c r="GY120" s="27">
        <v>-204</v>
      </c>
      <c r="GZ120" s="27">
        <v>-205</v>
      </c>
      <c r="HA120" s="27">
        <v>-206</v>
      </c>
      <c r="HB120" s="27">
        <v>-207</v>
      </c>
      <c r="HC120" s="27">
        <v>-208</v>
      </c>
      <c r="HD120" s="27">
        <v>-209</v>
      </c>
      <c r="HE120" s="27">
        <v>-210</v>
      </c>
      <c r="HF120" s="27">
        <v>-211</v>
      </c>
      <c r="HG120" s="27">
        <v>-212</v>
      </c>
      <c r="HH120" s="27">
        <v>-213</v>
      </c>
      <c r="HI120" s="27">
        <v>-214</v>
      </c>
      <c r="HJ120" s="27">
        <v>-215</v>
      </c>
      <c r="HK120" s="27">
        <v>-216</v>
      </c>
      <c r="HL120" s="27">
        <v>-217</v>
      </c>
      <c r="HM120" s="27">
        <v>-218</v>
      </c>
      <c r="HN120" s="27">
        <v>-219</v>
      </c>
      <c r="HO120" s="27">
        <v>-220</v>
      </c>
      <c r="HP120" s="27">
        <v>-221</v>
      </c>
      <c r="HQ120" s="27">
        <v>-222</v>
      </c>
      <c r="HR120" s="27">
        <v>-223</v>
      </c>
      <c r="HS120" s="27">
        <v>-224</v>
      </c>
      <c r="HT120" s="27">
        <v>-225</v>
      </c>
      <c r="HU120" s="27">
        <v>-226</v>
      </c>
      <c r="HV120" s="27">
        <v>-227</v>
      </c>
      <c r="HW120" s="27">
        <v>-228</v>
      </c>
      <c r="HX120" s="27">
        <v>-229</v>
      </c>
      <c r="HY120" s="27">
        <v>-230</v>
      </c>
      <c r="HZ120" s="27">
        <v>-231</v>
      </c>
      <c r="IA120" s="27">
        <v>-232</v>
      </c>
      <c r="IB120" s="27">
        <v>-233</v>
      </c>
      <c r="IC120" s="27">
        <v>-234</v>
      </c>
      <c r="ID120" s="27">
        <v>-235</v>
      </c>
      <c r="IE120" s="27">
        <v>-236</v>
      </c>
      <c r="IF120" s="27">
        <v>-237</v>
      </c>
      <c r="IG120" s="27">
        <v>-238</v>
      </c>
      <c r="IH120" s="27">
        <v>-239</v>
      </c>
      <c r="II120" s="27">
        <v>-240</v>
      </c>
      <c r="IJ120" s="27">
        <v>-241</v>
      </c>
      <c r="IK120" s="27">
        <v>-242</v>
      </c>
      <c r="IL120" s="27">
        <v>-243</v>
      </c>
      <c r="IM120" s="27">
        <v>-244</v>
      </c>
      <c r="IN120" s="27">
        <v>-245</v>
      </c>
      <c r="IO120" s="27">
        <v>-246</v>
      </c>
      <c r="IP120" s="27">
        <v>-247</v>
      </c>
      <c r="IQ120" s="27">
        <v>-248</v>
      </c>
      <c r="IR120" s="27">
        <v>-249</v>
      </c>
      <c r="IS120" s="27">
        <v>-250</v>
      </c>
    </row>
    <row r="121" spans="2:253" hidden="1" x14ac:dyDescent="0.3">
      <c r="C121" s="1" t="s">
        <v>7</v>
      </c>
      <c r="D121" s="1" t="s">
        <v>9</v>
      </c>
      <c r="E121" s="1" t="s">
        <v>11</v>
      </c>
      <c r="F121" s="1" t="s">
        <v>13</v>
      </c>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row>
    <row r="122" spans="2:253" hidden="1" x14ac:dyDescent="0.3">
      <c r="C122" s="1" t="s">
        <v>103</v>
      </c>
      <c r="D122" s="1" t="s">
        <v>150</v>
      </c>
      <c r="E122" s="1" t="s">
        <v>170</v>
      </c>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row>
    <row r="123" spans="2:253" hidden="1" x14ac:dyDescent="0.3">
      <c r="B123" s="2"/>
      <c r="C123" s="10" t="s">
        <v>104</v>
      </c>
      <c r="D123" s="10" t="s">
        <v>105</v>
      </c>
      <c r="E123" s="10" t="s">
        <v>106</v>
      </c>
      <c r="F123" s="10" t="s">
        <v>107</v>
      </c>
      <c r="G123" s="10" t="s">
        <v>108</v>
      </c>
      <c r="H123" s="10" t="s">
        <v>109</v>
      </c>
      <c r="I123" s="10" t="s">
        <v>110</v>
      </c>
      <c r="J123" s="10" t="s">
        <v>111</v>
      </c>
      <c r="K123" s="10" t="s">
        <v>112</v>
      </c>
      <c r="L123" s="10" t="s">
        <v>26</v>
      </c>
      <c r="M123" s="10" t="s">
        <v>27</v>
      </c>
      <c r="N123" s="10" t="s">
        <v>28</v>
      </c>
      <c r="O123" s="10" t="s">
        <v>29</v>
      </c>
      <c r="P123" s="10" t="s">
        <v>30</v>
      </c>
      <c r="Q123" s="10" t="s">
        <v>31</v>
      </c>
      <c r="R123" s="10" t="s">
        <v>185</v>
      </c>
      <c r="S123" s="10"/>
      <c r="T123" s="10"/>
      <c r="U123" s="10"/>
      <c r="V123" s="10"/>
      <c r="W123" s="10"/>
      <c r="X123" s="10"/>
      <c r="Y123" s="10"/>
      <c r="Z123" s="10"/>
      <c r="AA123" s="10"/>
      <c r="AB123" s="10"/>
      <c r="AC123" s="10"/>
      <c r="AD123" s="10"/>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row>
    <row r="124" spans="2:253" hidden="1" x14ac:dyDescent="0.3">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row>
    <row r="125" spans="2:253" hidden="1" x14ac:dyDescent="0.3">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row>
    <row r="126" spans="2:253" hidden="1" x14ac:dyDescent="0.3">
      <c r="C126" s="28"/>
      <c r="D126" s="1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row>
    <row r="127" spans="2:253" hidden="1" x14ac:dyDescent="0.3">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row>
    <row r="128" spans="2:253" hidden="1" x14ac:dyDescent="0.3">
      <c r="M128" s="29"/>
      <c r="N128" s="29"/>
      <c r="O128" s="29"/>
      <c r="P128" s="29"/>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row>
    <row r="129" spans="3:193" s="29" customFormat="1" hidden="1" x14ac:dyDescent="0.3">
      <c r="M129" s="1"/>
      <c r="N129" s="1"/>
      <c r="O129" s="1"/>
      <c r="P129" s="1"/>
      <c r="R129" s="1"/>
      <c r="S129" s="1"/>
      <c r="T129" s="1"/>
      <c r="U129" s="1"/>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8"/>
      <c r="DF129" s="8"/>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36"/>
      <c r="FI129" s="36"/>
      <c r="FJ129" s="36"/>
      <c r="FK129" s="36"/>
      <c r="FL129" s="36"/>
      <c r="FM129" s="36"/>
      <c r="FN129" s="36"/>
      <c r="FO129" s="36"/>
      <c r="FP129" s="36"/>
      <c r="FQ129" s="36"/>
      <c r="FR129" s="36"/>
      <c r="FS129" s="36"/>
      <c r="FT129" s="36"/>
      <c r="FU129" s="36"/>
      <c r="FV129" s="36"/>
      <c r="FW129" s="36"/>
      <c r="FX129" s="36"/>
      <c r="FY129" s="36"/>
      <c r="FZ129" s="36"/>
      <c r="GA129" s="36"/>
      <c r="GB129" s="36"/>
      <c r="GC129" s="36"/>
      <c r="GD129" s="36"/>
      <c r="GE129" s="36"/>
      <c r="GF129" s="36"/>
      <c r="GG129" s="36"/>
      <c r="GH129" s="36"/>
      <c r="GI129" s="36"/>
      <c r="GJ129" s="36"/>
      <c r="GK129" s="36"/>
    </row>
    <row r="130" spans="3:193" hidden="1" x14ac:dyDescent="0.3">
      <c r="C130" s="30"/>
      <c r="H130" s="4"/>
      <c r="J130" s="31"/>
      <c r="K130" s="31"/>
    </row>
    <row r="131" spans="3:193" x14ac:dyDescent="0.3">
      <c r="C131" s="30"/>
      <c r="H131" s="4"/>
      <c r="J131" s="31"/>
      <c r="K131" s="31"/>
    </row>
    <row r="132" spans="3:193" x14ac:dyDescent="0.3">
      <c r="K132" s="31"/>
    </row>
    <row r="134" spans="3:193" x14ac:dyDescent="0.3">
      <c r="D134" s="2"/>
      <c r="E134" s="2"/>
      <c r="F134" s="2"/>
      <c r="G134" s="2"/>
      <c r="H134" s="2"/>
      <c r="I134" s="2"/>
    </row>
    <row r="135" spans="3:193" x14ac:dyDescent="0.3">
      <c r="D135" s="4"/>
      <c r="E135" s="4"/>
      <c r="F135" s="4"/>
      <c r="G135" s="4"/>
      <c r="H135" s="4"/>
      <c r="J135" s="31"/>
      <c r="K135" s="31"/>
    </row>
    <row r="138" spans="3:193" x14ac:dyDescent="0.3">
      <c r="K138" s="31"/>
    </row>
    <row r="141" spans="3:193" x14ac:dyDescent="0.3">
      <c r="U141" s="32"/>
    </row>
    <row r="142" spans="3:193" x14ac:dyDescent="0.3">
      <c r="U142" s="32"/>
    </row>
  </sheetData>
  <sheetProtection sheet="1"/>
  <mergeCells count="422">
    <mergeCell ref="B98:AH98"/>
    <mergeCell ref="B1:AH1"/>
    <mergeCell ref="B73:H73"/>
    <mergeCell ref="B74:H74"/>
    <mergeCell ref="AF10:AH13"/>
    <mergeCell ref="O10:Q13"/>
    <mergeCell ref="Y80:AA80"/>
    <mergeCell ref="AB80:AD80"/>
    <mergeCell ref="S80:W80"/>
    <mergeCell ref="Y81:AA81"/>
    <mergeCell ref="AB81:AD81"/>
    <mergeCell ref="B52:Q52"/>
    <mergeCell ref="S52:AH52"/>
    <mergeCell ref="F49:N49"/>
    <mergeCell ref="W42:AE42"/>
    <mergeCell ref="B39:Q39"/>
    <mergeCell ref="B43:E43"/>
    <mergeCell ref="F43:N43"/>
    <mergeCell ref="F41:N41"/>
    <mergeCell ref="O41:Q41"/>
    <mergeCell ref="S48:V48"/>
    <mergeCell ref="F47:N47"/>
    <mergeCell ref="F42:N42"/>
    <mergeCell ref="AF49:AH49"/>
    <mergeCell ref="O49:Q49"/>
    <mergeCell ref="V2:AH2"/>
    <mergeCell ref="J2:T2"/>
    <mergeCell ref="AB78:AD78"/>
    <mergeCell ref="AB79:AD79"/>
    <mergeCell ref="L72:P72"/>
    <mergeCell ref="B72:K72"/>
    <mergeCell ref="V72:X72"/>
    <mergeCell ref="B76:R76"/>
    <mergeCell ref="I74:K74"/>
    <mergeCell ref="V3:AH3"/>
    <mergeCell ref="Q73:T73"/>
    <mergeCell ref="O46:Q46"/>
    <mergeCell ref="O47:Q47"/>
    <mergeCell ref="B53:AH53"/>
    <mergeCell ref="B57:Q57"/>
    <mergeCell ref="S57:AH57"/>
    <mergeCell ref="S51:AH51"/>
    <mergeCell ref="B51:Q51"/>
    <mergeCell ref="AF48:AH48"/>
    <mergeCell ref="B36:AH36"/>
    <mergeCell ref="W40:AE40"/>
    <mergeCell ref="O40:Q40"/>
    <mergeCell ref="W43:AE43"/>
    <mergeCell ref="AC54:AE54"/>
    <mergeCell ref="I66:K66"/>
    <mergeCell ref="S61:AB61"/>
    <mergeCell ref="L61:Q61"/>
    <mergeCell ref="Z64:AB64"/>
    <mergeCell ref="Z66:AB66"/>
    <mergeCell ref="W48:AE48"/>
    <mergeCell ref="S46:V46"/>
    <mergeCell ref="S62:Y62"/>
    <mergeCell ref="S63:Y63"/>
    <mergeCell ref="S64:Y64"/>
    <mergeCell ref="Z65:AB65"/>
    <mergeCell ref="Z62:AB62"/>
    <mergeCell ref="F48:N48"/>
    <mergeCell ref="AC66:AE66"/>
    <mergeCell ref="Z63:AB63"/>
    <mergeCell ref="L54:N54"/>
    <mergeCell ref="AC55:AE55"/>
    <mergeCell ref="O56:Q56"/>
    <mergeCell ref="O66:Q66"/>
    <mergeCell ref="B60:Q60"/>
    <mergeCell ref="O62:Q62"/>
    <mergeCell ref="O48:Q48"/>
    <mergeCell ref="B62:H62"/>
    <mergeCell ref="AF66:AH66"/>
    <mergeCell ref="S69:Y69"/>
    <mergeCell ref="S66:Y66"/>
    <mergeCell ref="B66:H66"/>
    <mergeCell ref="B65:H65"/>
    <mergeCell ref="B63:H63"/>
    <mergeCell ref="AE81:AH81"/>
    <mergeCell ref="B80:R80"/>
    <mergeCell ref="AE80:AH80"/>
    <mergeCell ref="S81:W81"/>
    <mergeCell ref="B67:H67"/>
    <mergeCell ref="Z69:AB69"/>
    <mergeCell ref="AE77:AH77"/>
    <mergeCell ref="AB77:AD77"/>
    <mergeCell ref="B70:AH70"/>
    <mergeCell ref="M73:O73"/>
    <mergeCell ref="B71:AH71"/>
    <mergeCell ref="I73:K73"/>
    <mergeCell ref="V73:X74"/>
    <mergeCell ref="AE75:AH75"/>
    <mergeCell ref="B75:O75"/>
    <mergeCell ref="Q75:T75"/>
    <mergeCell ref="B77:R77"/>
    <mergeCell ref="B78:R78"/>
    <mergeCell ref="AF67:AH67"/>
    <mergeCell ref="Q74:T74"/>
    <mergeCell ref="V75:X75"/>
    <mergeCell ref="Y73:AD73"/>
    <mergeCell ref="Y75:AD75"/>
    <mergeCell ref="M74:O74"/>
    <mergeCell ref="O67:Q67"/>
    <mergeCell ref="I69:K69"/>
    <mergeCell ref="I67:K67"/>
    <mergeCell ref="S67:Y67"/>
    <mergeCell ref="Z67:AB67"/>
    <mergeCell ref="AC67:AE67"/>
    <mergeCell ref="AE73:AH74"/>
    <mergeCell ref="AR24:AS24"/>
    <mergeCell ref="B24:AH24"/>
    <mergeCell ref="S43:V43"/>
    <mergeCell ref="AB30:AD30"/>
    <mergeCell ref="AB31:AD31"/>
    <mergeCell ref="AL24:AM24"/>
    <mergeCell ref="S32:X32"/>
    <mergeCell ref="S29:X29"/>
    <mergeCell ref="S40:V40"/>
    <mergeCell ref="AF35:AH35"/>
    <mergeCell ref="O35:Q35"/>
    <mergeCell ref="S39:AH39"/>
    <mergeCell ref="AF40:AH40"/>
    <mergeCell ref="B38:Q38"/>
    <mergeCell ref="S35:AE35"/>
    <mergeCell ref="S41:V41"/>
    <mergeCell ref="W41:AE41"/>
    <mergeCell ref="AF41:AH41"/>
    <mergeCell ref="R25:R35"/>
    <mergeCell ref="S28:X28"/>
    <mergeCell ref="S38:AH38"/>
    <mergeCell ref="B35:N35"/>
    <mergeCell ref="B34:J34"/>
    <mergeCell ref="O43:Q43"/>
    <mergeCell ref="AF65:AH65"/>
    <mergeCell ref="AC65:AE65"/>
    <mergeCell ref="AF63:AH63"/>
    <mergeCell ref="AF64:AH64"/>
    <mergeCell ref="B64:H64"/>
    <mergeCell ref="S65:Y65"/>
    <mergeCell ref="O63:Q63"/>
    <mergeCell ref="O64:Q64"/>
    <mergeCell ref="O65:Q65"/>
    <mergeCell ref="I64:K64"/>
    <mergeCell ref="L63:N63"/>
    <mergeCell ref="L64:N64"/>
    <mergeCell ref="I65:K65"/>
    <mergeCell ref="L65:N65"/>
    <mergeCell ref="I63:K63"/>
    <mergeCell ref="AC63:AE63"/>
    <mergeCell ref="AC64:AE64"/>
    <mergeCell ref="AN24:AO24"/>
    <mergeCell ref="B15:N15"/>
    <mergeCell ref="AF17:AH18"/>
    <mergeCell ref="S15:AE15"/>
    <mergeCell ref="AF15:AH15"/>
    <mergeCell ref="S17:AE17"/>
    <mergeCell ref="B19:N19"/>
    <mergeCell ref="O16:Q16"/>
    <mergeCell ref="K23:M23"/>
    <mergeCell ref="B23:J23"/>
    <mergeCell ref="S19:AE19"/>
    <mergeCell ref="S23:AA23"/>
    <mergeCell ref="AB23:AD23"/>
    <mergeCell ref="AE23:AH23"/>
    <mergeCell ref="AF16:AH16"/>
    <mergeCell ref="B17:N17"/>
    <mergeCell ref="B18:N18"/>
    <mergeCell ref="B5:AH5"/>
    <mergeCell ref="B6:Q6"/>
    <mergeCell ref="B7:F7"/>
    <mergeCell ref="S7:W7"/>
    <mergeCell ref="S6:AH6"/>
    <mergeCell ref="X7:AE7"/>
    <mergeCell ref="G7:N7"/>
    <mergeCell ref="AA13:AE13"/>
    <mergeCell ref="B13:I13"/>
    <mergeCell ref="AF9:AH9"/>
    <mergeCell ref="S12:Z12"/>
    <mergeCell ref="AA12:AE12"/>
    <mergeCell ref="S13:Z13"/>
    <mergeCell ref="O9:Q9"/>
    <mergeCell ref="X8:AE8"/>
    <mergeCell ref="S9:W9"/>
    <mergeCell ref="S8:W8"/>
    <mergeCell ref="X9:AE9"/>
    <mergeCell ref="S10:AE10"/>
    <mergeCell ref="G9:N9"/>
    <mergeCell ref="G8:N8"/>
    <mergeCell ref="J12:N12"/>
    <mergeCell ref="B8:F8"/>
    <mergeCell ref="B9:F9"/>
    <mergeCell ref="AF14:AH14"/>
    <mergeCell ref="X11:AE11"/>
    <mergeCell ref="R6:R19"/>
    <mergeCell ref="B10:N10"/>
    <mergeCell ref="B12:I12"/>
    <mergeCell ref="Y28:AA28"/>
    <mergeCell ref="S27:X27"/>
    <mergeCell ref="S22:T22"/>
    <mergeCell ref="S18:AE18"/>
    <mergeCell ref="S21:AH21"/>
    <mergeCell ref="AF19:AH19"/>
    <mergeCell ref="S26:X26"/>
    <mergeCell ref="U22:AH22"/>
    <mergeCell ref="AB27:AD27"/>
    <mergeCell ref="S25:X25"/>
    <mergeCell ref="Y25:AA25"/>
    <mergeCell ref="AE25:AH26"/>
    <mergeCell ref="AE27:AH27"/>
    <mergeCell ref="Y26:AA26"/>
    <mergeCell ref="AB26:AD26"/>
    <mergeCell ref="Y27:AA27"/>
    <mergeCell ref="AB28:AD28"/>
    <mergeCell ref="S16:AE16"/>
    <mergeCell ref="S14:Z14"/>
    <mergeCell ref="AB25:AD25"/>
    <mergeCell ref="R21:R23"/>
    <mergeCell ref="O17:Q18"/>
    <mergeCell ref="O14:Q14"/>
    <mergeCell ref="B16:N16"/>
    <mergeCell ref="J14:N14"/>
    <mergeCell ref="B14:I14"/>
    <mergeCell ref="AF50:AH50"/>
    <mergeCell ref="B48:E48"/>
    <mergeCell ref="B49:E49"/>
    <mergeCell ref="B50:N50"/>
    <mergeCell ref="S50:AE50"/>
    <mergeCell ref="S47:V47"/>
    <mergeCell ref="B40:E40"/>
    <mergeCell ref="F40:N40"/>
    <mergeCell ref="B42:E42"/>
    <mergeCell ref="B44:E44"/>
    <mergeCell ref="B45:E45"/>
    <mergeCell ref="B46:E46"/>
    <mergeCell ref="F46:N46"/>
    <mergeCell ref="B37:AH37"/>
    <mergeCell ref="B41:E41"/>
    <mergeCell ref="B47:E47"/>
    <mergeCell ref="AA14:AE14"/>
    <mergeCell ref="J13:N13"/>
    <mergeCell ref="B11:F11"/>
    <mergeCell ref="G11:N11"/>
    <mergeCell ref="B26:G26"/>
    <mergeCell ref="B27:G27"/>
    <mergeCell ref="H28:J28"/>
    <mergeCell ref="O19:Q19"/>
    <mergeCell ref="K26:M26"/>
    <mergeCell ref="K27:M27"/>
    <mergeCell ref="N27:Q27"/>
    <mergeCell ref="H25:J25"/>
    <mergeCell ref="K25:M25"/>
    <mergeCell ref="H26:J26"/>
    <mergeCell ref="H27:J27"/>
    <mergeCell ref="N25:Q26"/>
    <mergeCell ref="N23:Q23"/>
    <mergeCell ref="N28:Q34"/>
    <mergeCell ref="K30:M30"/>
    <mergeCell ref="K34:M34"/>
    <mergeCell ref="B21:Q21"/>
    <mergeCell ref="O15:Q15"/>
    <mergeCell ref="B61:K61"/>
    <mergeCell ref="L55:N55"/>
    <mergeCell ref="AF56:AH56"/>
    <mergeCell ref="S56:AB56"/>
    <mergeCell ref="AC56:AE56"/>
    <mergeCell ref="L62:N62"/>
    <mergeCell ref="L58:N58"/>
    <mergeCell ref="O58:Q58"/>
    <mergeCell ref="AC58:AE58"/>
    <mergeCell ref="AF58:AH58"/>
    <mergeCell ref="B58:K58"/>
    <mergeCell ref="S58:AB58"/>
    <mergeCell ref="AC62:AE62"/>
    <mergeCell ref="AF62:AH62"/>
    <mergeCell ref="AF55:AH55"/>
    <mergeCell ref="S55:AB55"/>
    <mergeCell ref="AC61:AH61"/>
    <mergeCell ref="B56:K56"/>
    <mergeCell ref="I62:K62"/>
    <mergeCell ref="L56:N56"/>
    <mergeCell ref="S54:AB54"/>
    <mergeCell ref="S49:V49"/>
    <mergeCell ref="W49:AE49"/>
    <mergeCell ref="B4:AH4"/>
    <mergeCell ref="B20:AH20"/>
    <mergeCell ref="S33:X33"/>
    <mergeCell ref="K33:M33"/>
    <mergeCell ref="AB33:AD33"/>
    <mergeCell ref="B22:C22"/>
    <mergeCell ref="D22:Q22"/>
    <mergeCell ref="H32:J32"/>
    <mergeCell ref="H29:J29"/>
    <mergeCell ref="K31:M31"/>
    <mergeCell ref="AB29:AD29"/>
    <mergeCell ref="Y29:AA29"/>
    <mergeCell ref="Y32:AA32"/>
    <mergeCell ref="AB32:AD32"/>
    <mergeCell ref="K28:M28"/>
    <mergeCell ref="B29:G29"/>
    <mergeCell ref="H30:J30"/>
    <mergeCell ref="B28:G28"/>
    <mergeCell ref="H31:J31"/>
    <mergeCell ref="B30:G30"/>
    <mergeCell ref="B25:G25"/>
    <mergeCell ref="AE82:AH82"/>
    <mergeCell ref="B81:R81"/>
    <mergeCell ref="O50:Q50"/>
    <mergeCell ref="AE78:AH78"/>
    <mergeCell ref="AE79:AH79"/>
    <mergeCell ref="S60:AH60"/>
    <mergeCell ref="AP31:AQ31"/>
    <mergeCell ref="B33:G33"/>
    <mergeCell ref="H33:J33"/>
    <mergeCell ref="Y33:AA33"/>
    <mergeCell ref="B32:G32"/>
    <mergeCell ref="AE28:AH34"/>
    <mergeCell ref="S34:AA34"/>
    <mergeCell ref="AB34:AD34"/>
    <mergeCell ref="B31:G31"/>
    <mergeCell ref="K32:M32"/>
    <mergeCell ref="K29:M29"/>
    <mergeCell ref="S30:X30"/>
    <mergeCell ref="Y30:AA30"/>
    <mergeCell ref="S31:X31"/>
    <mergeCell ref="Y31:AA31"/>
    <mergeCell ref="L66:N66"/>
    <mergeCell ref="L67:N67"/>
    <mergeCell ref="AF54:AH54"/>
    <mergeCell ref="W47:AE47"/>
    <mergeCell ref="AF47:AH47"/>
    <mergeCell ref="AF42:AH42"/>
    <mergeCell ref="AF45:AH45"/>
    <mergeCell ref="W46:AE46"/>
    <mergeCell ref="AF46:AH46"/>
    <mergeCell ref="W45:AE45"/>
    <mergeCell ref="AF43:AH43"/>
    <mergeCell ref="AF44:AH44"/>
    <mergeCell ref="W44:AE44"/>
    <mergeCell ref="S42:V42"/>
    <mergeCell ref="S45:V45"/>
    <mergeCell ref="S44:V44"/>
    <mergeCell ref="F44:N44"/>
    <mergeCell ref="O44:Q44"/>
    <mergeCell ref="O45:Q45"/>
    <mergeCell ref="F45:N45"/>
    <mergeCell ref="B96:L96"/>
    <mergeCell ref="M96:P96"/>
    <mergeCell ref="R96:T96"/>
    <mergeCell ref="O42:Q42"/>
    <mergeCell ref="O54:Q54"/>
    <mergeCell ref="O55:Q55"/>
    <mergeCell ref="B54:K54"/>
    <mergeCell ref="B55:K55"/>
    <mergeCell ref="B69:H69"/>
    <mergeCell ref="B82:AD82"/>
    <mergeCell ref="B79:R79"/>
    <mergeCell ref="S77:W77"/>
    <mergeCell ref="S78:W78"/>
    <mergeCell ref="S79:W79"/>
    <mergeCell ref="Y79:AA79"/>
    <mergeCell ref="Y78:AA78"/>
    <mergeCell ref="Y77:AA77"/>
    <mergeCell ref="Z96:AC96"/>
    <mergeCell ref="AE96:AH96"/>
    <mergeCell ref="V96:X96"/>
    <mergeCell ref="AE88:AH88"/>
    <mergeCell ref="AE89:AH89"/>
    <mergeCell ref="B89:AC89"/>
    <mergeCell ref="R88:T88"/>
    <mergeCell ref="B88:L88"/>
    <mergeCell ref="V88:X88"/>
    <mergeCell ref="Z88:AC88"/>
    <mergeCell ref="M88:P88"/>
    <mergeCell ref="AE91:AH91"/>
    <mergeCell ref="J3:T3"/>
    <mergeCell ref="S11:W11"/>
    <mergeCell ref="Z95:AC95"/>
    <mergeCell ref="AE95:AH95"/>
    <mergeCell ref="AE87:AH87"/>
    <mergeCell ref="AE86:AH86"/>
    <mergeCell ref="B95:L95"/>
    <mergeCell ref="M95:P95"/>
    <mergeCell ref="Y91:AC91"/>
    <mergeCell ref="M86:P86"/>
    <mergeCell ref="B86:L86"/>
    <mergeCell ref="V87:X87"/>
    <mergeCell ref="V86:X86"/>
    <mergeCell ref="Z86:AC86"/>
    <mergeCell ref="R86:T86"/>
    <mergeCell ref="R87:T87"/>
    <mergeCell ref="B87:L87"/>
    <mergeCell ref="M87:P87"/>
    <mergeCell ref="L69:Q69"/>
    <mergeCell ref="AC69:AH69"/>
    <mergeCell ref="Y93:AC93"/>
    <mergeCell ref="AE93:AH93"/>
    <mergeCell ref="Y92:AC92"/>
    <mergeCell ref="B84:AH84"/>
    <mergeCell ref="AM71:AN71"/>
    <mergeCell ref="AM76:AN76"/>
    <mergeCell ref="C106:AG106"/>
    <mergeCell ref="B68:H68"/>
    <mergeCell ref="I68:K68"/>
    <mergeCell ref="L68:N68"/>
    <mergeCell ref="O68:Q68"/>
    <mergeCell ref="AC68:AE68"/>
    <mergeCell ref="AF68:AH68"/>
    <mergeCell ref="Z68:AB68"/>
    <mergeCell ref="S68:Y68"/>
    <mergeCell ref="Z87:AC87"/>
    <mergeCell ref="B90:R90"/>
    <mergeCell ref="B91:R91"/>
    <mergeCell ref="R95:T95"/>
    <mergeCell ref="S92:W92"/>
    <mergeCell ref="B93:R93"/>
    <mergeCell ref="S91:W91"/>
    <mergeCell ref="B92:R92"/>
    <mergeCell ref="V95:X95"/>
    <mergeCell ref="AE92:AH92"/>
    <mergeCell ref="S93:W93"/>
    <mergeCell ref="B97:AD97"/>
    <mergeCell ref="AE97:AH97"/>
  </mergeCells>
  <phoneticPr fontId="0" type="noConversion"/>
  <dataValidations xWindow="884" yWindow="427" count="29">
    <dataValidation type="list" allowBlank="1" showInputMessage="1" showErrorMessage="1" promptTitle="Stereopsis" prompt="Extent of stereopsis (depth perception) impairment" sqref="L54:N54" xr:uid="{00000000-0002-0000-0000-000000000000}">
      <formula1>C122:E122</formula1>
    </dataValidation>
    <dataValidation type="list" allowBlank="1" showInputMessage="1" showErrorMessage="1" promptTitle="Glare disturbances" prompt="Extent of impairment due to glare disturances" sqref="L55:N55" xr:uid="{00000000-0002-0000-0000-000001000000}">
      <formula1>C122:E122</formula1>
    </dataValidation>
    <dataValidation type="list" allowBlank="1" showInputMessage="1" showErrorMessage="1" promptTitle="Monocular diplopia" prompt="Extent of impairment due to monocular diplopia" sqref="L56:N56" xr:uid="{00000000-0002-0000-0000-000002000000}">
      <formula1>C122:E122</formula1>
    </dataValidation>
    <dataValidation type="list" allowBlank="1" showInputMessage="1" showErrorMessage="1" promptTitle="Central vision" prompt="distance acuity - English measure" sqref="G8:N8 X8:AE8" xr:uid="{00000000-0002-0000-0000-000003000000}">
      <formula1>$B$108:$S$108</formula1>
    </dataValidation>
    <dataValidation type="list" allowBlank="1" showInputMessage="1" showErrorMessage="1" promptTitle="Central vision" prompt="distance acuity - metric 6" sqref="G9:N9 X9:AE9" xr:uid="{00000000-0002-0000-0000-000004000000}">
      <formula1>$B$110:$S$110</formula1>
    </dataValidation>
    <dataValidation type="list" allowBlank="1" showInputMessage="1" showErrorMessage="1" promptTitle="Central vision" prompt="near acuity - Near Snellen Inches" sqref="J12:N12 AA12:AE12" xr:uid="{00000000-0002-0000-0000-000005000000}">
      <formula1>$B$112:$P$112</formula1>
    </dataValidation>
    <dataValidation type="list" allowBlank="1" showInputMessage="1" showErrorMessage="1" promptTitle="Central vision" prompt="near acuity - Revised Jaeger Standard" sqref="J13:N13 AA13:AE13" xr:uid="{00000000-0002-0000-0000-000006000000}">
      <formula1>$B$114:$P$114</formula1>
    </dataValidation>
    <dataValidation type="list" allowBlank="1" showInputMessage="1" showErrorMessage="1" promptTitle="Central vision" prompt="near acuity - American Point-type" sqref="J14:N14 AA14:AE14" xr:uid="{00000000-0002-0000-0000-000007000000}">
      <formula1>$B$116:$P$116</formula1>
    </dataValidation>
    <dataValidation type="list" allowBlank="1" showInputMessage="1" showErrorMessage="1" promptTitle="Visual field" prompt="Extent of retained vision (50 degrees is minimal normal extent of this peripheral visual field.)" sqref="H28:J28 Y28:AA28" xr:uid="{00000000-0002-0000-0000-000008000000}">
      <formula1>$B$119:$CO$119</formula1>
    </dataValidation>
    <dataValidation type="list" allowBlank="1" showInputMessage="1" showErrorMessage="1" promptTitle="Visual field loss" prompt="Monocular Esterman Grid - count all the printed dots outside or falling on the line marking the extent of the visual field. The number of dots counted is the percentage of visual field loss." sqref="K23:M23 AB23:AD23" xr:uid="{00000000-0002-0000-0000-000009000000}">
      <formula1>$B$119:$CY$119</formula1>
    </dataValidation>
    <dataValidation type="list" allowBlank="1" showInputMessage="1" showErrorMessage="1" sqref="F41:N41 W41:AE41" xr:uid="{00000000-0002-0000-0000-00000A000000}">
      <formula1>$C$121</formula1>
    </dataValidation>
    <dataValidation type="list" allowBlank="1" showInputMessage="1" showErrorMessage="1" sqref="F42:N46 W42:AE46" xr:uid="{00000000-0002-0000-0000-00000B000000}">
      <formula1>$D$121:$E$121</formula1>
    </dataValidation>
    <dataValidation type="list" allowBlank="1" showInputMessage="1" showErrorMessage="1" sqref="F47:N49 W47:AE49" xr:uid="{00000000-0002-0000-0000-00000C000000}">
      <formula1>$F$121</formula1>
    </dataValidation>
    <dataValidation type="list" allowBlank="1" showInputMessage="1" showErrorMessage="1" promptTitle="Stereopsis" prompt="Extent of stereopsis (depth perception) impairment" sqref="AC54:AE54" xr:uid="{00000000-0002-0000-0000-00000D000000}">
      <formula1>$C$122:$E$122</formula1>
    </dataValidation>
    <dataValidation type="list" allowBlank="1" showInputMessage="1" showErrorMessage="1" promptTitle="Field loss" prompt="Enter data here only if the worker has lost 1/4 or 1/2 of the visual field. This will be either 3 or 5 meridians. The program will enter 1/2 the sum of minimal normal for the boundary meridians - at the first (identified by letter) boundary meridian." sqref="N27:Q27 AE27:AH27" xr:uid="{00000000-0002-0000-0000-00000E000000}">
      <formula1>$B$123:$R$123</formula1>
    </dataValidation>
    <dataValidation type="decimal" operator="equal" allowBlank="1" showInputMessage="1" showErrorMessage="1" promptTitle="Lens involvement" prompt="Check the type of lens loss or &quot;NA.&quot;" sqref="A18" xr:uid="{00000000-0002-0000-0000-00000F000000}">
      <formula1>AK18</formula1>
    </dataValidation>
    <dataValidation type="list" allowBlank="1" showInputMessage="1" showErrorMessage="1" promptTitle="Scotoma" prompt="Scotoma: Add the degrees lost within the scotoma along affected meridians and (the program will) subtract that amount from the retained peripheral field." sqref="H33:J33 Y33:AA33" xr:uid="{00000000-0002-0000-0000-000010000000}">
      <formula1>$B$120:$IS$120</formula1>
    </dataValidation>
    <dataValidation type="decimal" operator="equal" allowBlank="1" showInputMessage="1" showErrorMessage="1" promptTitle="Peripheral visual field" prompt="Enter field loss data or check box if all meridians are at least minimal normal. Enter scotoma loss if applicable." sqref="A22" xr:uid="{00000000-0002-0000-0000-000011000000}">
      <formula1>AR22</formula1>
    </dataValidation>
    <dataValidation type="list" allowBlank="1" showInputMessage="1" showErrorMessage="1" promptTitle="Visual field" prompt="Extent of retained vision (55 degrees is minimal normal extent of this peripheral visual field.)" sqref="H30:J30 Y32:AA32 Y30:AA30 H32:J32" xr:uid="{00000000-0002-0000-0000-000012000000}">
      <formula1>$B$119:$CO$119</formula1>
    </dataValidation>
    <dataValidation type="list" allowBlank="1" showInputMessage="1" showErrorMessage="1" promptTitle="Visual field" prompt="Extent of retained vision (45 degrees is minimal normal extent of this peripheral visual field.)" sqref="H31:J31 Y31:AA31" xr:uid="{00000000-0002-0000-0000-000013000000}">
      <formula1>$B$119:$CO$119</formula1>
    </dataValidation>
    <dataValidation type="list" allowBlank="1" showInputMessage="1" showErrorMessage="1" promptTitle="Visual field" prompt="Extent of retained vision (60 degrees is minimal normal extent of this peripheral visual field.)" sqref="H29:J29 Y29:AA29" xr:uid="{00000000-0002-0000-0000-000014000000}">
      <formula1>$B$119:$CO$119</formula1>
    </dataValidation>
    <dataValidation type="list" allowBlank="1" showInputMessage="1" showErrorMessage="1" promptTitle="Visual field" prompt="Extent of retained vision (65 degrees is minimal normal extent of this peripheral visual field.)" sqref="H27:J27 Y27:AA27" xr:uid="{00000000-0002-0000-0000-000015000000}">
      <formula1>$B$119:$CO$119</formula1>
    </dataValidation>
    <dataValidation type="list" allowBlank="1" showInputMessage="1" showErrorMessage="1" promptTitle="Visual field" prompt="Extent of retained vision (85 degrees is minimal normal extent of this peripheral visual field.)" sqref="H25:J26 Y25:AA26" xr:uid="{00000000-0002-0000-0000-000016000000}">
      <formula1>$B$119:$CO$119</formula1>
    </dataValidation>
    <dataValidation type="list" allowBlank="1" showInputMessage="1" showErrorMessage="1" promptTitle="Glare disturbances" prompt="Extent of impairment due to glare disturances" sqref="AC55:AE55" xr:uid="{00000000-0002-0000-0000-000017000000}">
      <formula1>$C$122:$E$122</formula1>
    </dataValidation>
    <dataValidation type="list" allowBlank="1" showInputMessage="1" showErrorMessage="1" promptTitle="Monocular diplopia" prompt="Extent of impairment due to monocular diplopia" sqref="AC56:AE56" xr:uid="{00000000-0002-0000-0000-000018000000}">
      <formula1>$C$122:$E$122</formula1>
    </dataValidation>
    <dataValidation type="decimal" allowBlank="1" showInputMessage="1" showErrorMessage="1" promptTitle="Apportionment (if any)" prompt="Enter percentage of impairment caused by the injury or illness. See OAR 436-035-0013." sqref="L62:N68 AC62:AE68" xr:uid="{00000000-0002-0000-0000-00001A000000}">
      <formula1>$C$107</formula1>
      <formula2>$D$107</formula2>
    </dataValidation>
    <dataValidation allowBlank="1" showInputMessage="1" showErrorMessage="1" promptTitle="Date of injury" prompt="The program cannot calculate the disability award without the date." sqref="J3:T3" xr:uid="{00000000-0002-0000-0000-00001B000000}"/>
    <dataValidation allowBlank="1" showInputMessage="1" showErrorMessage="1" promptTitle="Enucleation" prompt="Check box next to eye removed." sqref="A58" xr:uid="{00000000-0002-0000-0000-00001C000000}"/>
    <dataValidation allowBlank="1" showInputMessage="1" showErrorMessage="1" promptTitle="Data entry note:" prompt="Enter data only in green-shaded fields." sqref="J2:T2" xr:uid="{00000000-0002-0000-0000-00001D000000}"/>
  </dataValidations>
  <pageMargins left="0.5" right="0.54" top="0.52" bottom="0.89" header="0.56999999999999995" footer="0.59"/>
  <pageSetup orientation="portrait" r:id="rId1"/>
  <headerFooter alignWithMargins="0">
    <oddFooter>&amp;LVision&amp;CPage &amp;P</oddFooter>
  </headerFooter>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1</xdr:col>
                    <xdr:colOff>0</xdr:colOff>
                    <xdr:row>16</xdr:row>
                    <xdr:rowOff>0</xdr:rowOff>
                  </from>
                  <to>
                    <xdr:col>14</xdr:col>
                    <xdr:colOff>0</xdr:colOff>
                    <xdr:row>18</xdr:row>
                    <xdr:rowOff>0</xdr:rowOff>
                  </to>
                </anchor>
              </controlPr>
            </control>
          </mc:Choice>
        </mc:AlternateContent>
        <mc:AlternateContent xmlns:mc="http://schemas.openxmlformats.org/markup-compatibility/2006">
          <mc:Choice Requires="x14">
            <control shapeId="43010" r:id="rId5" name="Option Button 2">
              <controlPr defaultSize="0" autoFill="0" autoLine="0" autoPict="0">
                <anchor moveWithCells="1">
                  <from>
                    <xdr:col>1</xdr:col>
                    <xdr:colOff>76200</xdr:colOff>
                    <xdr:row>17</xdr:row>
                    <xdr:rowOff>50800</xdr:rowOff>
                  </from>
                  <to>
                    <xdr:col>3</xdr:col>
                    <xdr:colOff>95250</xdr:colOff>
                    <xdr:row>17</xdr:row>
                    <xdr:rowOff>266700</xdr:rowOff>
                  </to>
                </anchor>
              </controlPr>
            </control>
          </mc:Choice>
        </mc:AlternateContent>
        <mc:AlternateContent xmlns:mc="http://schemas.openxmlformats.org/markup-compatibility/2006">
          <mc:Choice Requires="x14">
            <control shapeId="43011" r:id="rId6" name="Option Button 3">
              <controlPr defaultSize="0" autoFill="0" autoLine="0" autoPict="0">
                <anchor moveWithCells="1">
                  <from>
                    <xdr:col>1</xdr:col>
                    <xdr:colOff>76200</xdr:colOff>
                    <xdr:row>17</xdr:row>
                    <xdr:rowOff>260350</xdr:rowOff>
                  </from>
                  <to>
                    <xdr:col>12</xdr:col>
                    <xdr:colOff>165100</xdr:colOff>
                    <xdr:row>17</xdr:row>
                    <xdr:rowOff>476250</xdr:rowOff>
                  </to>
                </anchor>
              </controlPr>
            </control>
          </mc:Choice>
        </mc:AlternateContent>
        <mc:AlternateContent xmlns:mc="http://schemas.openxmlformats.org/markup-compatibility/2006">
          <mc:Choice Requires="x14">
            <control shapeId="43012" r:id="rId7" name="Option Button 4">
              <controlPr defaultSize="0" autoFill="0" autoLine="0" autoPict="0">
                <anchor moveWithCells="1">
                  <from>
                    <xdr:col>1</xdr:col>
                    <xdr:colOff>76200</xdr:colOff>
                    <xdr:row>17</xdr:row>
                    <xdr:rowOff>476250</xdr:rowOff>
                  </from>
                  <to>
                    <xdr:col>13</xdr:col>
                    <xdr:colOff>0</xdr:colOff>
                    <xdr:row>17</xdr:row>
                    <xdr:rowOff>698500</xdr:rowOff>
                  </to>
                </anchor>
              </controlPr>
            </control>
          </mc:Choice>
        </mc:AlternateContent>
        <mc:AlternateContent xmlns:mc="http://schemas.openxmlformats.org/markup-compatibility/2006">
          <mc:Choice Requires="x14">
            <control shapeId="43013" r:id="rId8" name="Group Box 5">
              <controlPr defaultSize="0" autoFill="0" autoPict="0">
                <anchor moveWithCells="1">
                  <from>
                    <xdr:col>18</xdr:col>
                    <xdr:colOff>0</xdr:colOff>
                    <xdr:row>17</xdr:row>
                    <xdr:rowOff>12700</xdr:rowOff>
                  </from>
                  <to>
                    <xdr:col>30</xdr:col>
                    <xdr:colOff>190500</xdr:colOff>
                    <xdr:row>18</xdr:row>
                    <xdr:rowOff>0</xdr:rowOff>
                  </to>
                </anchor>
              </controlPr>
            </control>
          </mc:Choice>
        </mc:AlternateContent>
        <mc:AlternateContent xmlns:mc="http://schemas.openxmlformats.org/markup-compatibility/2006">
          <mc:Choice Requires="x14">
            <control shapeId="43014" r:id="rId9" name="Option Button 6">
              <controlPr defaultSize="0" autoFill="0" autoLine="0" autoPict="0">
                <anchor moveWithCells="1">
                  <from>
                    <xdr:col>18</xdr:col>
                    <xdr:colOff>88900</xdr:colOff>
                    <xdr:row>17</xdr:row>
                    <xdr:rowOff>50800</xdr:rowOff>
                  </from>
                  <to>
                    <xdr:col>28</xdr:col>
                    <xdr:colOff>165100</xdr:colOff>
                    <xdr:row>17</xdr:row>
                    <xdr:rowOff>266700</xdr:rowOff>
                  </to>
                </anchor>
              </controlPr>
            </control>
          </mc:Choice>
        </mc:AlternateContent>
        <mc:AlternateContent xmlns:mc="http://schemas.openxmlformats.org/markup-compatibility/2006">
          <mc:Choice Requires="x14">
            <control shapeId="43015" r:id="rId10" name="Option Button 7">
              <controlPr defaultSize="0" autoFill="0" autoLine="0" autoPict="0">
                <anchor moveWithCells="1">
                  <from>
                    <xdr:col>18</xdr:col>
                    <xdr:colOff>88900</xdr:colOff>
                    <xdr:row>17</xdr:row>
                    <xdr:rowOff>247650</xdr:rowOff>
                  </from>
                  <to>
                    <xdr:col>28</xdr:col>
                    <xdr:colOff>165100</xdr:colOff>
                    <xdr:row>17</xdr:row>
                    <xdr:rowOff>469900</xdr:rowOff>
                  </to>
                </anchor>
              </controlPr>
            </control>
          </mc:Choice>
        </mc:AlternateContent>
        <mc:AlternateContent xmlns:mc="http://schemas.openxmlformats.org/markup-compatibility/2006">
          <mc:Choice Requires="x14">
            <control shapeId="43016" r:id="rId11" name="Option Button 8">
              <controlPr defaultSize="0" autoFill="0" autoLine="0" autoPict="0">
                <anchor moveWithCells="1">
                  <from>
                    <xdr:col>18</xdr:col>
                    <xdr:colOff>88900</xdr:colOff>
                    <xdr:row>17</xdr:row>
                    <xdr:rowOff>476250</xdr:rowOff>
                  </from>
                  <to>
                    <xdr:col>29</xdr:col>
                    <xdr:colOff>76200</xdr:colOff>
                    <xdr:row>17</xdr:row>
                    <xdr:rowOff>698500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1</xdr:col>
                    <xdr:colOff>31750</xdr:colOff>
                    <xdr:row>21</xdr:row>
                    <xdr:rowOff>50800</xdr:rowOff>
                  </from>
                  <to>
                    <xdr:col>2</xdr:col>
                    <xdr:colOff>152400</xdr:colOff>
                    <xdr:row>21</xdr:row>
                    <xdr:rowOff>266700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18</xdr:col>
                    <xdr:colOff>57150</xdr:colOff>
                    <xdr:row>21</xdr:row>
                    <xdr:rowOff>57150</xdr:rowOff>
                  </from>
                  <to>
                    <xdr:col>20</xdr:col>
                    <xdr:colOff>0</xdr:colOff>
                    <xdr:row>21</xdr:row>
                    <xdr:rowOff>279400</xdr:rowOff>
                  </to>
                </anchor>
              </controlPr>
            </control>
          </mc:Choice>
        </mc:AlternateContent>
        <mc:AlternateContent xmlns:mc="http://schemas.openxmlformats.org/markup-compatibility/2006">
          <mc:Choice Requires="x14">
            <control shapeId="43100" r:id="rId14" name="Check Box 92">
              <controlPr defaultSize="0" autoFill="0" autoLine="0" autoPict="0">
                <anchor moveWithCells="1">
                  <from>
                    <xdr:col>11</xdr:col>
                    <xdr:colOff>165100</xdr:colOff>
                    <xdr:row>57</xdr:row>
                    <xdr:rowOff>12700</xdr:rowOff>
                  </from>
                  <to>
                    <xdr:col>13</xdr:col>
                    <xdr:colOff>107950</xdr:colOff>
                    <xdr:row>58</xdr:row>
                    <xdr:rowOff>0</xdr:rowOff>
                  </to>
                </anchor>
              </controlPr>
            </control>
          </mc:Choice>
        </mc:AlternateContent>
        <mc:AlternateContent xmlns:mc="http://schemas.openxmlformats.org/markup-compatibility/2006">
          <mc:Choice Requires="x14">
            <control shapeId="43101" r:id="rId15" name="Check Box 93">
              <controlPr defaultSize="0" autoFill="0" autoLine="0" autoPict="0">
                <anchor moveWithCells="1">
                  <from>
                    <xdr:col>28</xdr:col>
                    <xdr:colOff>152400</xdr:colOff>
                    <xdr:row>57</xdr:row>
                    <xdr:rowOff>12700</xdr:rowOff>
                  </from>
                  <to>
                    <xdr:col>30</xdr:col>
                    <xdr:colOff>107950</xdr:colOff>
                    <xdr:row>58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showGridLines="0" topLeftCell="A16" zoomScale="120" workbookViewId="0">
      <selection activeCell="C24" sqref="C24"/>
    </sheetView>
  </sheetViews>
  <sheetFormatPr defaultColWidth="9.1796875" defaultRowHeight="13" x14ac:dyDescent="0.3"/>
  <cols>
    <col min="1" max="1" width="9.1796875" style="10"/>
    <col min="2" max="2" width="9.7265625" style="1" bestFit="1" customWidth="1"/>
    <col min="3" max="3" width="9.1796875" style="1"/>
    <col min="4" max="4" width="13.7265625" style="1" bestFit="1" customWidth="1"/>
    <col min="5" max="5" width="10.26953125" style="1" customWidth="1"/>
    <col min="6" max="6" width="9.1796875" style="1"/>
    <col min="7" max="7" width="10.54296875" style="1" customWidth="1"/>
    <col min="8" max="16384" width="9.1796875" style="1"/>
  </cols>
  <sheetData>
    <row r="1" spans="1:6" ht="24.75" customHeight="1" x14ac:dyDescent="0.3">
      <c r="A1" s="323" t="s">
        <v>210</v>
      </c>
      <c r="B1" s="323"/>
      <c r="C1" s="323"/>
      <c r="D1" s="323"/>
      <c r="E1" s="323"/>
      <c r="F1" s="323"/>
    </row>
    <row r="2" spans="1:6" x14ac:dyDescent="0.3">
      <c r="A2" s="51">
        <v>38353</v>
      </c>
      <c r="B2" s="80">
        <v>688.56</v>
      </c>
      <c r="D2" s="1" t="s">
        <v>47</v>
      </c>
    </row>
    <row r="3" spans="1:6" x14ac:dyDescent="0.3">
      <c r="A3" s="51">
        <v>38534</v>
      </c>
      <c r="B3" s="80">
        <v>712.96</v>
      </c>
      <c r="D3" s="62" t="str">
        <f>IF(Vision!J3="","",Vision!J3)</f>
        <v/>
      </c>
    </row>
    <row r="4" spans="1:6" x14ac:dyDescent="0.3">
      <c r="A4" s="51">
        <v>38899</v>
      </c>
      <c r="B4" s="80">
        <v>721.43</v>
      </c>
      <c r="D4" s="85">
        <f>IF(D3="",0,VLOOKUP(D3,A2:B28,2))</f>
        <v>0</v>
      </c>
      <c r="E4" s="11" t="s">
        <v>212</v>
      </c>
      <c r="F4" s="61"/>
    </row>
    <row r="5" spans="1:6" x14ac:dyDescent="0.3">
      <c r="A5" s="51">
        <v>39264</v>
      </c>
      <c r="B5" s="80">
        <v>756.8</v>
      </c>
    </row>
    <row r="6" spans="1:6" x14ac:dyDescent="0.3">
      <c r="A6" s="51">
        <v>39630</v>
      </c>
      <c r="B6" s="56">
        <v>790.38</v>
      </c>
      <c r="D6" s="84"/>
    </row>
    <row r="7" spans="1:6" x14ac:dyDescent="0.3">
      <c r="A7" s="51">
        <v>39995</v>
      </c>
      <c r="B7" s="56">
        <v>800.6</v>
      </c>
    </row>
    <row r="8" spans="1:6" x14ac:dyDescent="0.3">
      <c r="A8" s="51">
        <v>40360</v>
      </c>
      <c r="B8" s="56">
        <v>819.38</v>
      </c>
      <c r="D8" s="84"/>
    </row>
    <row r="9" spans="1:6" x14ac:dyDescent="0.3">
      <c r="A9" s="51">
        <v>40725</v>
      </c>
      <c r="B9" s="56">
        <v>842.52</v>
      </c>
    </row>
    <row r="10" spans="1:6" x14ac:dyDescent="0.3">
      <c r="A10" s="51">
        <v>41091</v>
      </c>
      <c r="B10" s="56">
        <v>841.26</v>
      </c>
      <c r="D10" s="84"/>
    </row>
    <row r="11" spans="1:6" x14ac:dyDescent="0.3">
      <c r="A11" s="51">
        <v>41456</v>
      </c>
      <c r="B11" s="56">
        <v>862.27</v>
      </c>
    </row>
    <row r="12" spans="1:6" x14ac:dyDescent="0.3">
      <c r="A12" s="51">
        <v>41821</v>
      </c>
      <c r="B12" s="56">
        <v>888.38</v>
      </c>
      <c r="D12" s="84"/>
    </row>
    <row r="13" spans="1:6" x14ac:dyDescent="0.3">
      <c r="A13" s="51">
        <v>42186</v>
      </c>
      <c r="B13" s="56">
        <v>922.39</v>
      </c>
    </row>
    <row r="14" spans="1:6" x14ac:dyDescent="0.3">
      <c r="A14" s="51">
        <v>42552</v>
      </c>
      <c r="B14" s="56">
        <v>974.2</v>
      </c>
    </row>
    <row r="15" spans="1:6" x14ac:dyDescent="0.3">
      <c r="A15" s="51">
        <v>42917</v>
      </c>
      <c r="B15" s="56">
        <v>963.01</v>
      </c>
    </row>
    <row r="16" spans="1:6" x14ac:dyDescent="0.3">
      <c r="A16" s="51">
        <v>43282</v>
      </c>
      <c r="B16" s="56">
        <v>1007.05</v>
      </c>
    </row>
    <row r="17" spans="1:2" x14ac:dyDescent="0.3">
      <c r="A17" s="51">
        <v>43647</v>
      </c>
      <c r="B17" s="56">
        <v>1044.4000000000001</v>
      </c>
    </row>
    <row r="18" spans="1:2" x14ac:dyDescent="0.3">
      <c r="A18" s="51">
        <v>44013</v>
      </c>
      <c r="B18" s="56">
        <v>1093.4100000000001</v>
      </c>
    </row>
    <row r="19" spans="1:2" x14ac:dyDescent="0.3">
      <c r="A19" s="51">
        <v>44378</v>
      </c>
      <c r="B19" s="56">
        <v>1247.1300000000001</v>
      </c>
    </row>
    <row r="20" spans="1:2" x14ac:dyDescent="0.3">
      <c r="A20" s="51">
        <v>44743</v>
      </c>
      <c r="B20" s="56">
        <v>1325.24</v>
      </c>
    </row>
    <row r="21" spans="1:2" x14ac:dyDescent="0.3">
      <c r="A21" s="51">
        <v>45108</v>
      </c>
      <c r="B21" s="56">
        <v>1295.8599999999999</v>
      </c>
    </row>
    <row r="22" spans="1:2" x14ac:dyDescent="0.3">
      <c r="A22" s="51">
        <v>45474</v>
      </c>
      <c r="B22" s="325">
        <v>1331.48</v>
      </c>
    </row>
    <row r="23" spans="1:2" x14ac:dyDescent="0.3">
      <c r="A23" s="51">
        <v>45839</v>
      </c>
      <c r="B23" s="325">
        <v>1417.06</v>
      </c>
    </row>
    <row r="24" spans="1:2" x14ac:dyDescent="0.3">
      <c r="A24" s="51">
        <v>46204</v>
      </c>
      <c r="B24" s="56"/>
    </row>
    <row r="25" spans="1:2" x14ac:dyDescent="0.3">
      <c r="A25" s="51">
        <v>46569</v>
      </c>
      <c r="B25" s="56"/>
    </row>
    <row r="26" spans="1:2" x14ac:dyDescent="0.3">
      <c r="A26" s="51">
        <v>46935</v>
      </c>
      <c r="B26" s="56"/>
    </row>
    <row r="27" spans="1:2" x14ac:dyDescent="0.3">
      <c r="A27" s="51">
        <v>47300</v>
      </c>
      <c r="B27" s="56"/>
    </row>
    <row r="28" spans="1:2" x14ac:dyDescent="0.3">
      <c r="A28" s="51">
        <v>47665</v>
      </c>
      <c r="B28" s="56"/>
    </row>
    <row r="31" spans="1:2" x14ac:dyDescent="0.3">
      <c r="A31" s="10" t="s">
        <v>211</v>
      </c>
    </row>
  </sheetData>
  <sheetProtection sheet="1" objects="1" scenarios="1"/>
  <mergeCells count="1">
    <mergeCell ref="A1:F1"/>
  </mergeCells>
  <phoneticPr fontId="0" type="noConversion"/>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2"/>
  <sheetViews>
    <sheetView workbookViewId="0">
      <selection activeCell="C1" sqref="C1"/>
    </sheetView>
  </sheetViews>
  <sheetFormatPr defaultColWidth="9.1796875" defaultRowHeight="13" x14ac:dyDescent="0.3"/>
  <cols>
    <col min="1" max="1" width="10.453125" style="10" customWidth="1"/>
    <col min="2" max="2" width="12.7265625" style="10" customWidth="1"/>
    <col min="3" max="3" width="4.54296875" style="10" customWidth="1"/>
    <col min="4" max="4" width="13.81640625" style="10" customWidth="1"/>
    <col min="5" max="5" width="14.1796875" style="10" customWidth="1"/>
    <col min="6" max="16384" width="9.1796875" style="10"/>
  </cols>
  <sheetData>
    <row r="1" spans="1:6" ht="57.75" customHeight="1" x14ac:dyDescent="0.3">
      <c r="A1" s="98" t="s">
        <v>33</v>
      </c>
      <c r="B1" s="98" t="s">
        <v>34</v>
      </c>
      <c r="C1" s="19"/>
      <c r="D1" s="98" t="s">
        <v>32</v>
      </c>
      <c r="E1" s="98" t="s">
        <v>32</v>
      </c>
      <c r="F1" s="19"/>
    </row>
    <row r="2" spans="1:6" ht="12.75" customHeight="1" x14ac:dyDescent="0.3">
      <c r="A2" s="88">
        <v>0</v>
      </c>
      <c r="B2" s="100">
        <v>1</v>
      </c>
      <c r="D2" s="258" t="s">
        <v>35</v>
      </c>
      <c r="E2" s="258" t="s">
        <v>35</v>
      </c>
    </row>
    <row r="3" spans="1:6" x14ac:dyDescent="0.3">
      <c r="A3" s="88">
        <v>1</v>
      </c>
      <c r="B3" s="100">
        <v>1</v>
      </c>
      <c r="D3" s="258"/>
      <c r="E3" s="258"/>
    </row>
    <row r="4" spans="1:6" x14ac:dyDescent="0.3">
      <c r="A4" s="88">
        <v>2</v>
      </c>
      <c r="B4" s="100">
        <v>1</v>
      </c>
      <c r="D4" s="258"/>
      <c r="E4" s="258"/>
    </row>
    <row r="5" spans="1:6" x14ac:dyDescent="0.3">
      <c r="A5" s="88">
        <v>3</v>
      </c>
      <c r="B5" s="100">
        <v>1</v>
      </c>
      <c r="D5" s="258"/>
      <c r="E5" s="258"/>
    </row>
    <row r="6" spans="1:6" x14ac:dyDescent="0.3">
      <c r="A6" s="88">
        <v>4</v>
      </c>
      <c r="B6" s="100">
        <v>1</v>
      </c>
      <c r="D6" s="88" t="s">
        <v>36</v>
      </c>
      <c r="E6" s="88" t="s">
        <v>37</v>
      </c>
    </row>
    <row r="7" spans="1:6" x14ac:dyDescent="0.3">
      <c r="A7" s="88">
        <v>5</v>
      </c>
      <c r="B7" s="100">
        <v>0.99</v>
      </c>
      <c r="D7" s="99" t="str">
        <f>Vision!K34</f>
        <v/>
      </c>
      <c r="E7" s="99" t="str">
        <f>Vision!AB34</f>
        <v/>
      </c>
    </row>
    <row r="8" spans="1:6" x14ac:dyDescent="0.3">
      <c r="A8" s="88">
        <v>6</v>
      </c>
      <c r="B8" s="100">
        <v>0.99</v>
      </c>
      <c r="D8" s="88" t="str">
        <f>IF(D7="","",ROUND(D7,0))</f>
        <v/>
      </c>
      <c r="E8" s="88" t="str">
        <f>IF(E7="","",ROUND(E7,0))</f>
        <v/>
      </c>
    </row>
    <row r="9" spans="1:6" x14ac:dyDescent="0.3">
      <c r="A9" s="88">
        <v>7</v>
      </c>
      <c r="B9" s="100">
        <v>0.99</v>
      </c>
      <c r="D9" s="100">
        <f>IF(D8&lt;&gt;"",VLOOKUP(D8,A2:B502,2),0)</f>
        <v>0</v>
      </c>
      <c r="E9" s="100">
        <f>IF(E8&lt;&gt;"",VLOOKUP(E8,A2:B502,2),0)</f>
        <v>0</v>
      </c>
    </row>
    <row r="10" spans="1:6" x14ac:dyDescent="0.3">
      <c r="A10" s="88">
        <v>8</v>
      </c>
      <c r="B10" s="100">
        <v>0.99</v>
      </c>
    </row>
    <row r="11" spans="1:6" x14ac:dyDescent="0.3">
      <c r="A11" s="88">
        <v>9</v>
      </c>
      <c r="B11" s="100">
        <v>0.99</v>
      </c>
    </row>
    <row r="12" spans="1:6" x14ac:dyDescent="0.3">
      <c r="A12" s="88">
        <v>10</v>
      </c>
      <c r="B12" s="100">
        <v>0.98</v>
      </c>
    </row>
    <row r="13" spans="1:6" x14ac:dyDescent="0.3">
      <c r="A13" s="88">
        <v>11</v>
      </c>
      <c r="B13" s="100">
        <v>0.98</v>
      </c>
    </row>
    <row r="14" spans="1:6" x14ac:dyDescent="0.3">
      <c r="A14" s="88">
        <v>12</v>
      </c>
      <c r="B14" s="100">
        <v>0.98</v>
      </c>
    </row>
    <row r="15" spans="1:6" x14ac:dyDescent="0.3">
      <c r="A15" s="88">
        <v>13</v>
      </c>
      <c r="B15" s="100">
        <v>0.98</v>
      </c>
    </row>
    <row r="16" spans="1:6" x14ac:dyDescent="0.3">
      <c r="A16" s="88">
        <v>14</v>
      </c>
      <c r="B16" s="100">
        <v>0.98</v>
      </c>
    </row>
    <row r="17" spans="1:2" x14ac:dyDescent="0.3">
      <c r="A17" s="88">
        <v>15</v>
      </c>
      <c r="B17" s="100">
        <v>0.97</v>
      </c>
    </row>
    <row r="18" spans="1:2" x14ac:dyDescent="0.3">
      <c r="A18" s="88">
        <v>16</v>
      </c>
      <c r="B18" s="100">
        <v>0.97</v>
      </c>
    </row>
    <row r="19" spans="1:2" x14ac:dyDescent="0.3">
      <c r="A19" s="88">
        <v>17</v>
      </c>
      <c r="B19" s="100">
        <v>0.97</v>
      </c>
    </row>
    <row r="20" spans="1:2" x14ac:dyDescent="0.3">
      <c r="A20" s="88">
        <v>18</v>
      </c>
      <c r="B20" s="100">
        <v>0.97</v>
      </c>
    </row>
    <row r="21" spans="1:2" x14ac:dyDescent="0.3">
      <c r="A21" s="88">
        <v>19</v>
      </c>
      <c r="B21" s="100">
        <v>0.97</v>
      </c>
    </row>
    <row r="22" spans="1:2" x14ac:dyDescent="0.3">
      <c r="A22" s="88">
        <v>20</v>
      </c>
      <c r="B22" s="100">
        <v>0.96</v>
      </c>
    </row>
    <row r="23" spans="1:2" x14ac:dyDescent="0.3">
      <c r="A23" s="88">
        <v>21</v>
      </c>
      <c r="B23" s="100">
        <v>0.96</v>
      </c>
    </row>
    <row r="24" spans="1:2" x14ac:dyDescent="0.3">
      <c r="A24" s="88">
        <v>22</v>
      </c>
      <c r="B24" s="100">
        <v>0.96</v>
      </c>
    </row>
    <row r="25" spans="1:2" x14ac:dyDescent="0.3">
      <c r="A25" s="88">
        <v>23</v>
      </c>
      <c r="B25" s="100">
        <v>0.96</v>
      </c>
    </row>
    <row r="26" spans="1:2" x14ac:dyDescent="0.3">
      <c r="A26" s="88">
        <v>24</v>
      </c>
      <c r="B26" s="100">
        <v>0.96</v>
      </c>
    </row>
    <row r="27" spans="1:2" x14ac:dyDescent="0.3">
      <c r="A27" s="88">
        <v>25</v>
      </c>
      <c r="B27" s="100">
        <v>0.95</v>
      </c>
    </row>
    <row r="28" spans="1:2" x14ac:dyDescent="0.3">
      <c r="A28" s="88">
        <v>26</v>
      </c>
      <c r="B28" s="100">
        <v>0.95</v>
      </c>
    </row>
    <row r="29" spans="1:2" x14ac:dyDescent="0.3">
      <c r="A29" s="88">
        <v>27</v>
      </c>
      <c r="B29" s="100">
        <v>0.95</v>
      </c>
    </row>
    <row r="30" spans="1:2" x14ac:dyDescent="0.3">
      <c r="A30" s="88">
        <v>28</v>
      </c>
      <c r="B30" s="100">
        <v>0.95</v>
      </c>
    </row>
    <row r="31" spans="1:2" x14ac:dyDescent="0.3">
      <c r="A31" s="88">
        <v>29</v>
      </c>
      <c r="B31" s="100">
        <v>0.95</v>
      </c>
    </row>
    <row r="32" spans="1:2" x14ac:dyDescent="0.3">
      <c r="A32" s="88">
        <v>30</v>
      </c>
      <c r="B32" s="100">
        <v>0.94</v>
      </c>
    </row>
    <row r="33" spans="1:2" x14ac:dyDescent="0.3">
      <c r="A33" s="88">
        <v>31</v>
      </c>
      <c r="B33" s="100">
        <v>0.94</v>
      </c>
    </row>
    <row r="34" spans="1:2" x14ac:dyDescent="0.3">
      <c r="A34" s="88">
        <v>32</v>
      </c>
      <c r="B34" s="100">
        <v>0.94</v>
      </c>
    </row>
    <row r="35" spans="1:2" x14ac:dyDescent="0.3">
      <c r="A35" s="88">
        <v>33</v>
      </c>
      <c r="B35" s="100">
        <v>0.94</v>
      </c>
    </row>
    <row r="36" spans="1:2" x14ac:dyDescent="0.3">
      <c r="A36" s="88">
        <v>34</v>
      </c>
      <c r="B36" s="100">
        <v>0.94</v>
      </c>
    </row>
    <row r="37" spans="1:2" x14ac:dyDescent="0.3">
      <c r="A37" s="88">
        <v>35</v>
      </c>
      <c r="B37" s="100">
        <v>0.93</v>
      </c>
    </row>
    <row r="38" spans="1:2" x14ac:dyDescent="0.3">
      <c r="A38" s="88">
        <v>36</v>
      </c>
      <c r="B38" s="100">
        <v>0.93</v>
      </c>
    </row>
    <row r="39" spans="1:2" x14ac:dyDescent="0.3">
      <c r="A39" s="88">
        <v>37</v>
      </c>
      <c r="B39" s="100">
        <v>0.93</v>
      </c>
    </row>
    <row r="40" spans="1:2" x14ac:dyDescent="0.3">
      <c r="A40" s="88">
        <v>38</v>
      </c>
      <c r="B40" s="100">
        <v>0.93</v>
      </c>
    </row>
    <row r="41" spans="1:2" x14ac:dyDescent="0.3">
      <c r="A41" s="88">
        <v>39</v>
      </c>
      <c r="B41" s="100">
        <v>0.93</v>
      </c>
    </row>
    <row r="42" spans="1:2" x14ac:dyDescent="0.3">
      <c r="A42" s="88">
        <v>40</v>
      </c>
      <c r="B42" s="100">
        <v>0.92</v>
      </c>
    </row>
    <row r="43" spans="1:2" x14ac:dyDescent="0.3">
      <c r="A43" s="88">
        <v>41</v>
      </c>
      <c r="B43" s="100">
        <v>0.92</v>
      </c>
    </row>
    <row r="44" spans="1:2" x14ac:dyDescent="0.3">
      <c r="A44" s="88">
        <v>42</v>
      </c>
      <c r="B44" s="100">
        <v>0.92</v>
      </c>
    </row>
    <row r="45" spans="1:2" x14ac:dyDescent="0.3">
      <c r="A45" s="88">
        <v>43</v>
      </c>
      <c r="B45" s="100">
        <v>0.92</v>
      </c>
    </row>
    <row r="46" spans="1:2" x14ac:dyDescent="0.3">
      <c r="A46" s="88">
        <v>44</v>
      </c>
      <c r="B46" s="100">
        <v>0.92</v>
      </c>
    </row>
    <row r="47" spans="1:2" x14ac:dyDescent="0.3">
      <c r="A47" s="88">
        <v>45</v>
      </c>
      <c r="B47" s="100">
        <v>0.91</v>
      </c>
    </row>
    <row r="48" spans="1:2" x14ac:dyDescent="0.3">
      <c r="A48" s="88">
        <v>46</v>
      </c>
      <c r="B48" s="100">
        <v>0.91</v>
      </c>
    </row>
    <row r="49" spans="1:2" x14ac:dyDescent="0.3">
      <c r="A49" s="88">
        <v>47</v>
      </c>
      <c r="B49" s="100">
        <v>0.91</v>
      </c>
    </row>
    <row r="50" spans="1:2" x14ac:dyDescent="0.3">
      <c r="A50" s="88">
        <v>48</v>
      </c>
      <c r="B50" s="100">
        <v>0.91</v>
      </c>
    </row>
    <row r="51" spans="1:2" x14ac:dyDescent="0.3">
      <c r="A51" s="88">
        <v>49</v>
      </c>
      <c r="B51" s="100">
        <v>0.91</v>
      </c>
    </row>
    <row r="52" spans="1:2" x14ac:dyDescent="0.3">
      <c r="A52" s="88">
        <v>50</v>
      </c>
      <c r="B52" s="100">
        <v>0.9</v>
      </c>
    </row>
    <row r="53" spans="1:2" x14ac:dyDescent="0.3">
      <c r="A53" s="88">
        <v>51</v>
      </c>
      <c r="B53" s="100">
        <v>0.9</v>
      </c>
    </row>
    <row r="54" spans="1:2" x14ac:dyDescent="0.3">
      <c r="A54" s="88">
        <v>52</v>
      </c>
      <c r="B54" s="100">
        <v>0.9</v>
      </c>
    </row>
    <row r="55" spans="1:2" x14ac:dyDescent="0.3">
      <c r="A55" s="88">
        <v>53</v>
      </c>
      <c r="B55" s="100">
        <v>0.9</v>
      </c>
    </row>
    <row r="56" spans="1:2" x14ac:dyDescent="0.3">
      <c r="A56" s="88">
        <v>54</v>
      </c>
      <c r="B56" s="100">
        <v>0.9</v>
      </c>
    </row>
    <row r="57" spans="1:2" x14ac:dyDescent="0.3">
      <c r="A57" s="88">
        <v>55</v>
      </c>
      <c r="B57" s="100">
        <v>0.89</v>
      </c>
    </row>
    <row r="58" spans="1:2" x14ac:dyDescent="0.3">
      <c r="A58" s="88">
        <v>56</v>
      </c>
      <c r="B58" s="100">
        <v>0.89</v>
      </c>
    </row>
    <row r="59" spans="1:2" x14ac:dyDescent="0.3">
      <c r="A59" s="88">
        <v>57</v>
      </c>
      <c r="B59" s="100">
        <v>0.89</v>
      </c>
    </row>
    <row r="60" spans="1:2" x14ac:dyDescent="0.3">
      <c r="A60" s="88">
        <v>58</v>
      </c>
      <c r="B60" s="100">
        <v>0.89</v>
      </c>
    </row>
    <row r="61" spans="1:2" x14ac:dyDescent="0.3">
      <c r="A61" s="88">
        <v>59</v>
      </c>
      <c r="B61" s="100">
        <v>0.89</v>
      </c>
    </row>
    <row r="62" spans="1:2" x14ac:dyDescent="0.3">
      <c r="A62" s="88">
        <v>60</v>
      </c>
      <c r="B62" s="100">
        <v>0.88</v>
      </c>
    </row>
    <row r="63" spans="1:2" x14ac:dyDescent="0.3">
      <c r="A63" s="88">
        <v>61</v>
      </c>
      <c r="B63" s="100">
        <v>0.88</v>
      </c>
    </row>
    <row r="64" spans="1:2" x14ac:dyDescent="0.3">
      <c r="A64" s="88">
        <v>62</v>
      </c>
      <c r="B64" s="100">
        <v>0.88</v>
      </c>
    </row>
    <row r="65" spans="1:2" x14ac:dyDescent="0.3">
      <c r="A65" s="88">
        <v>63</v>
      </c>
      <c r="B65" s="100">
        <v>0.88</v>
      </c>
    </row>
    <row r="66" spans="1:2" x14ac:dyDescent="0.3">
      <c r="A66" s="88">
        <v>64</v>
      </c>
      <c r="B66" s="100">
        <v>0.88</v>
      </c>
    </row>
    <row r="67" spans="1:2" x14ac:dyDescent="0.3">
      <c r="A67" s="88">
        <v>65</v>
      </c>
      <c r="B67" s="100">
        <v>0.87</v>
      </c>
    </row>
    <row r="68" spans="1:2" x14ac:dyDescent="0.3">
      <c r="A68" s="88">
        <v>66</v>
      </c>
      <c r="B68" s="100">
        <v>0.87</v>
      </c>
    </row>
    <row r="69" spans="1:2" x14ac:dyDescent="0.3">
      <c r="A69" s="88">
        <v>67</v>
      </c>
      <c r="B69" s="100">
        <v>0.87</v>
      </c>
    </row>
    <row r="70" spans="1:2" x14ac:dyDescent="0.3">
      <c r="A70" s="88">
        <v>68</v>
      </c>
      <c r="B70" s="100">
        <v>0.87</v>
      </c>
    </row>
    <row r="71" spans="1:2" x14ac:dyDescent="0.3">
      <c r="A71" s="88">
        <v>69</v>
      </c>
      <c r="B71" s="100">
        <v>0.87</v>
      </c>
    </row>
    <row r="72" spans="1:2" x14ac:dyDescent="0.3">
      <c r="A72" s="88">
        <v>70</v>
      </c>
      <c r="B72" s="100">
        <v>0.86</v>
      </c>
    </row>
    <row r="73" spans="1:2" x14ac:dyDescent="0.3">
      <c r="A73" s="88">
        <v>71</v>
      </c>
      <c r="B73" s="100">
        <v>0.86</v>
      </c>
    </row>
    <row r="74" spans="1:2" x14ac:dyDescent="0.3">
      <c r="A74" s="88">
        <v>72</v>
      </c>
      <c r="B74" s="100">
        <v>0.86</v>
      </c>
    </row>
    <row r="75" spans="1:2" x14ac:dyDescent="0.3">
      <c r="A75" s="88">
        <v>73</v>
      </c>
      <c r="B75" s="100">
        <v>0.86</v>
      </c>
    </row>
    <row r="76" spans="1:2" x14ac:dyDescent="0.3">
      <c r="A76" s="88">
        <v>74</v>
      </c>
      <c r="B76" s="100">
        <v>0.86</v>
      </c>
    </row>
    <row r="77" spans="1:2" x14ac:dyDescent="0.3">
      <c r="A77" s="88">
        <v>75</v>
      </c>
      <c r="B77" s="100">
        <v>0.85</v>
      </c>
    </row>
    <row r="78" spans="1:2" x14ac:dyDescent="0.3">
      <c r="A78" s="88">
        <v>76</v>
      </c>
      <c r="B78" s="100">
        <v>0.85</v>
      </c>
    </row>
    <row r="79" spans="1:2" x14ac:dyDescent="0.3">
      <c r="A79" s="88">
        <v>77</v>
      </c>
      <c r="B79" s="100">
        <v>0.85</v>
      </c>
    </row>
    <row r="80" spans="1:2" x14ac:dyDescent="0.3">
      <c r="A80" s="88">
        <v>78</v>
      </c>
      <c r="B80" s="100">
        <v>0.85</v>
      </c>
    </row>
    <row r="81" spans="1:2" x14ac:dyDescent="0.3">
      <c r="A81" s="88">
        <v>79</v>
      </c>
      <c r="B81" s="100">
        <v>0.85</v>
      </c>
    </row>
    <row r="82" spans="1:2" x14ac:dyDescent="0.3">
      <c r="A82" s="88">
        <v>80</v>
      </c>
      <c r="B82" s="100">
        <v>0.84</v>
      </c>
    </row>
    <row r="83" spans="1:2" x14ac:dyDescent="0.3">
      <c r="A83" s="88">
        <v>81</v>
      </c>
      <c r="B83" s="100">
        <v>0.84</v>
      </c>
    </row>
    <row r="84" spans="1:2" x14ac:dyDescent="0.3">
      <c r="A84" s="88">
        <v>82</v>
      </c>
      <c r="B84" s="100">
        <v>0.84</v>
      </c>
    </row>
    <row r="85" spans="1:2" x14ac:dyDescent="0.3">
      <c r="A85" s="88">
        <v>83</v>
      </c>
      <c r="B85" s="100">
        <v>0.84</v>
      </c>
    </row>
    <row r="86" spans="1:2" x14ac:dyDescent="0.3">
      <c r="A86" s="88">
        <v>84</v>
      </c>
      <c r="B86" s="100">
        <v>0.84</v>
      </c>
    </row>
    <row r="87" spans="1:2" x14ac:dyDescent="0.3">
      <c r="A87" s="88">
        <v>85</v>
      </c>
      <c r="B87" s="100">
        <v>0.83</v>
      </c>
    </row>
    <row r="88" spans="1:2" x14ac:dyDescent="0.3">
      <c r="A88" s="88">
        <v>86</v>
      </c>
      <c r="B88" s="100">
        <v>0.83</v>
      </c>
    </row>
    <row r="89" spans="1:2" x14ac:dyDescent="0.3">
      <c r="A89" s="88">
        <v>87</v>
      </c>
      <c r="B89" s="100">
        <v>0.83</v>
      </c>
    </row>
    <row r="90" spans="1:2" x14ac:dyDescent="0.3">
      <c r="A90" s="88">
        <v>88</v>
      </c>
      <c r="B90" s="100">
        <v>0.83</v>
      </c>
    </row>
    <row r="91" spans="1:2" x14ac:dyDescent="0.3">
      <c r="A91" s="88">
        <v>89</v>
      </c>
      <c r="B91" s="100">
        <v>0.83</v>
      </c>
    </row>
    <row r="92" spans="1:2" x14ac:dyDescent="0.3">
      <c r="A92" s="88">
        <v>90</v>
      </c>
      <c r="B92" s="100">
        <v>0.82</v>
      </c>
    </row>
    <row r="93" spans="1:2" x14ac:dyDescent="0.3">
      <c r="A93" s="88">
        <v>91</v>
      </c>
      <c r="B93" s="100">
        <v>0.82</v>
      </c>
    </row>
    <row r="94" spans="1:2" x14ac:dyDescent="0.3">
      <c r="A94" s="88">
        <v>92</v>
      </c>
      <c r="B94" s="100">
        <v>0.82</v>
      </c>
    </row>
    <row r="95" spans="1:2" x14ac:dyDescent="0.3">
      <c r="A95" s="88">
        <v>93</v>
      </c>
      <c r="B95" s="100">
        <v>0.82</v>
      </c>
    </row>
    <row r="96" spans="1:2" x14ac:dyDescent="0.3">
      <c r="A96" s="88">
        <v>94</v>
      </c>
      <c r="B96" s="100">
        <v>0.82</v>
      </c>
    </row>
    <row r="97" spans="1:2" x14ac:dyDescent="0.3">
      <c r="A97" s="88">
        <v>95</v>
      </c>
      <c r="B97" s="100">
        <v>0.81</v>
      </c>
    </row>
    <row r="98" spans="1:2" x14ac:dyDescent="0.3">
      <c r="A98" s="88">
        <v>96</v>
      </c>
      <c r="B98" s="100">
        <v>0.81</v>
      </c>
    </row>
    <row r="99" spans="1:2" x14ac:dyDescent="0.3">
      <c r="A99" s="88">
        <v>97</v>
      </c>
      <c r="B99" s="100">
        <v>0.81</v>
      </c>
    </row>
    <row r="100" spans="1:2" x14ac:dyDescent="0.3">
      <c r="A100" s="88">
        <v>98</v>
      </c>
      <c r="B100" s="100">
        <v>0.81</v>
      </c>
    </row>
    <row r="101" spans="1:2" x14ac:dyDescent="0.3">
      <c r="A101" s="88">
        <v>99</v>
      </c>
      <c r="B101" s="100">
        <v>0.81</v>
      </c>
    </row>
    <row r="102" spans="1:2" x14ac:dyDescent="0.3">
      <c r="A102" s="88">
        <v>100</v>
      </c>
      <c r="B102" s="100">
        <v>0.8</v>
      </c>
    </row>
    <row r="103" spans="1:2" x14ac:dyDescent="0.3">
      <c r="A103" s="88">
        <v>101</v>
      </c>
      <c r="B103" s="100">
        <v>0.8</v>
      </c>
    </row>
    <row r="104" spans="1:2" x14ac:dyDescent="0.3">
      <c r="A104" s="88">
        <v>102</v>
      </c>
      <c r="B104" s="100">
        <v>0.8</v>
      </c>
    </row>
    <row r="105" spans="1:2" x14ac:dyDescent="0.3">
      <c r="A105" s="88">
        <v>103</v>
      </c>
      <c r="B105" s="100">
        <v>0.8</v>
      </c>
    </row>
    <row r="106" spans="1:2" x14ac:dyDescent="0.3">
      <c r="A106" s="88">
        <v>104</v>
      </c>
      <c r="B106" s="100">
        <v>0.8</v>
      </c>
    </row>
    <row r="107" spans="1:2" x14ac:dyDescent="0.3">
      <c r="A107" s="88">
        <v>105</v>
      </c>
      <c r="B107" s="100">
        <v>0.79</v>
      </c>
    </row>
    <row r="108" spans="1:2" x14ac:dyDescent="0.3">
      <c r="A108" s="88">
        <v>106</v>
      </c>
      <c r="B108" s="100">
        <v>0.79</v>
      </c>
    </row>
    <row r="109" spans="1:2" x14ac:dyDescent="0.3">
      <c r="A109" s="88">
        <v>107</v>
      </c>
      <c r="B109" s="100">
        <v>0.79</v>
      </c>
    </row>
    <row r="110" spans="1:2" x14ac:dyDescent="0.3">
      <c r="A110" s="88">
        <v>108</v>
      </c>
      <c r="B110" s="100">
        <v>0.79</v>
      </c>
    </row>
    <row r="111" spans="1:2" x14ac:dyDescent="0.3">
      <c r="A111" s="88">
        <v>109</v>
      </c>
      <c r="B111" s="100">
        <v>0.79</v>
      </c>
    </row>
    <row r="112" spans="1:2" x14ac:dyDescent="0.3">
      <c r="A112" s="88">
        <v>110</v>
      </c>
      <c r="B112" s="100">
        <v>0.78</v>
      </c>
    </row>
    <row r="113" spans="1:2" x14ac:dyDescent="0.3">
      <c r="A113" s="88">
        <v>111</v>
      </c>
      <c r="B113" s="100">
        <v>0.78</v>
      </c>
    </row>
    <row r="114" spans="1:2" x14ac:dyDescent="0.3">
      <c r="A114" s="88">
        <v>112</v>
      </c>
      <c r="B114" s="100">
        <v>0.78</v>
      </c>
    </row>
    <row r="115" spans="1:2" x14ac:dyDescent="0.3">
      <c r="A115" s="88">
        <v>113</v>
      </c>
      <c r="B115" s="100">
        <v>0.78</v>
      </c>
    </row>
    <row r="116" spans="1:2" x14ac:dyDescent="0.3">
      <c r="A116" s="88">
        <v>114</v>
      </c>
      <c r="B116" s="100">
        <v>0.78</v>
      </c>
    </row>
    <row r="117" spans="1:2" x14ac:dyDescent="0.3">
      <c r="A117" s="88">
        <v>115</v>
      </c>
      <c r="B117" s="100">
        <v>0.77</v>
      </c>
    </row>
    <row r="118" spans="1:2" x14ac:dyDescent="0.3">
      <c r="A118" s="88">
        <v>116</v>
      </c>
      <c r="B118" s="100">
        <v>0.77</v>
      </c>
    </row>
    <row r="119" spans="1:2" x14ac:dyDescent="0.3">
      <c r="A119" s="88">
        <v>117</v>
      </c>
      <c r="B119" s="100">
        <v>0.77</v>
      </c>
    </row>
    <row r="120" spans="1:2" x14ac:dyDescent="0.3">
      <c r="A120" s="88">
        <v>118</v>
      </c>
      <c r="B120" s="100">
        <v>0.77</v>
      </c>
    </row>
    <row r="121" spans="1:2" x14ac:dyDescent="0.3">
      <c r="A121" s="88">
        <v>119</v>
      </c>
      <c r="B121" s="100">
        <v>0.77</v>
      </c>
    </row>
    <row r="122" spans="1:2" x14ac:dyDescent="0.3">
      <c r="A122" s="88">
        <v>120</v>
      </c>
      <c r="B122" s="100">
        <v>0.76</v>
      </c>
    </row>
    <row r="123" spans="1:2" x14ac:dyDescent="0.3">
      <c r="A123" s="88">
        <v>121</v>
      </c>
      <c r="B123" s="100">
        <v>0.76</v>
      </c>
    </row>
    <row r="124" spans="1:2" x14ac:dyDescent="0.3">
      <c r="A124" s="88">
        <v>122</v>
      </c>
      <c r="B124" s="100">
        <v>0.76</v>
      </c>
    </row>
    <row r="125" spans="1:2" x14ac:dyDescent="0.3">
      <c r="A125" s="88">
        <v>123</v>
      </c>
      <c r="B125" s="100">
        <v>0.76</v>
      </c>
    </row>
    <row r="126" spans="1:2" x14ac:dyDescent="0.3">
      <c r="A126" s="88">
        <v>124</v>
      </c>
      <c r="B126" s="100">
        <v>0.76</v>
      </c>
    </row>
    <row r="127" spans="1:2" x14ac:dyDescent="0.3">
      <c r="A127" s="88">
        <v>125</v>
      </c>
      <c r="B127" s="100">
        <v>0.75</v>
      </c>
    </row>
    <row r="128" spans="1:2" x14ac:dyDescent="0.3">
      <c r="A128" s="88">
        <v>126</v>
      </c>
      <c r="B128" s="100">
        <v>0.75</v>
      </c>
    </row>
    <row r="129" spans="1:2" x14ac:dyDescent="0.3">
      <c r="A129" s="88">
        <v>127</v>
      </c>
      <c r="B129" s="100">
        <v>0.75</v>
      </c>
    </row>
    <row r="130" spans="1:2" x14ac:dyDescent="0.3">
      <c r="A130" s="88">
        <v>128</v>
      </c>
      <c r="B130" s="100">
        <v>0.75</v>
      </c>
    </row>
    <row r="131" spans="1:2" x14ac:dyDescent="0.3">
      <c r="A131" s="88">
        <v>129</v>
      </c>
      <c r="B131" s="100">
        <v>0.75</v>
      </c>
    </row>
    <row r="132" spans="1:2" x14ac:dyDescent="0.3">
      <c r="A132" s="88">
        <v>130</v>
      </c>
      <c r="B132" s="100">
        <v>0.74</v>
      </c>
    </row>
    <row r="133" spans="1:2" x14ac:dyDescent="0.3">
      <c r="A133" s="88">
        <v>131</v>
      </c>
      <c r="B133" s="100">
        <v>0.74</v>
      </c>
    </row>
    <row r="134" spans="1:2" x14ac:dyDescent="0.3">
      <c r="A134" s="88">
        <v>132</v>
      </c>
      <c r="B134" s="100">
        <v>0.74</v>
      </c>
    </row>
    <row r="135" spans="1:2" x14ac:dyDescent="0.3">
      <c r="A135" s="88">
        <v>133</v>
      </c>
      <c r="B135" s="100">
        <v>0.74</v>
      </c>
    </row>
    <row r="136" spans="1:2" x14ac:dyDescent="0.3">
      <c r="A136" s="88">
        <v>134</v>
      </c>
      <c r="B136" s="100">
        <v>0.74</v>
      </c>
    </row>
    <row r="137" spans="1:2" x14ac:dyDescent="0.3">
      <c r="A137" s="88">
        <v>135</v>
      </c>
      <c r="B137" s="100">
        <v>0.73</v>
      </c>
    </row>
    <row r="138" spans="1:2" x14ac:dyDescent="0.3">
      <c r="A138" s="88">
        <v>136</v>
      </c>
      <c r="B138" s="100">
        <v>0.73</v>
      </c>
    </row>
    <row r="139" spans="1:2" x14ac:dyDescent="0.3">
      <c r="A139" s="88">
        <v>137</v>
      </c>
      <c r="B139" s="100">
        <v>0.73</v>
      </c>
    </row>
    <row r="140" spans="1:2" x14ac:dyDescent="0.3">
      <c r="A140" s="88">
        <v>138</v>
      </c>
      <c r="B140" s="100">
        <v>0.73</v>
      </c>
    </row>
    <row r="141" spans="1:2" x14ac:dyDescent="0.3">
      <c r="A141" s="88">
        <v>139</v>
      </c>
      <c r="B141" s="100">
        <v>0.73</v>
      </c>
    </row>
    <row r="142" spans="1:2" x14ac:dyDescent="0.3">
      <c r="A142" s="88">
        <v>140</v>
      </c>
      <c r="B142" s="100">
        <v>0.72</v>
      </c>
    </row>
    <row r="143" spans="1:2" x14ac:dyDescent="0.3">
      <c r="A143" s="88">
        <v>141</v>
      </c>
      <c r="B143" s="100">
        <v>0.72</v>
      </c>
    </row>
    <row r="144" spans="1:2" x14ac:dyDescent="0.3">
      <c r="A144" s="88">
        <v>142</v>
      </c>
      <c r="B144" s="100">
        <v>0.72</v>
      </c>
    </row>
    <row r="145" spans="1:2" x14ac:dyDescent="0.3">
      <c r="A145" s="88">
        <v>143</v>
      </c>
      <c r="B145" s="100">
        <v>0.72</v>
      </c>
    </row>
    <row r="146" spans="1:2" x14ac:dyDescent="0.3">
      <c r="A146" s="88">
        <v>144</v>
      </c>
      <c r="B146" s="100">
        <v>0.72</v>
      </c>
    </row>
    <row r="147" spans="1:2" x14ac:dyDescent="0.3">
      <c r="A147" s="88">
        <v>145</v>
      </c>
      <c r="B147" s="100">
        <v>0.71</v>
      </c>
    </row>
    <row r="148" spans="1:2" x14ac:dyDescent="0.3">
      <c r="A148" s="88">
        <v>146</v>
      </c>
      <c r="B148" s="100">
        <v>0.71</v>
      </c>
    </row>
    <row r="149" spans="1:2" x14ac:dyDescent="0.3">
      <c r="A149" s="88">
        <v>147</v>
      </c>
      <c r="B149" s="100">
        <v>0.71</v>
      </c>
    </row>
    <row r="150" spans="1:2" x14ac:dyDescent="0.3">
      <c r="A150" s="88">
        <v>148</v>
      </c>
      <c r="B150" s="100">
        <v>0.71</v>
      </c>
    </row>
    <row r="151" spans="1:2" x14ac:dyDescent="0.3">
      <c r="A151" s="88">
        <v>149</v>
      </c>
      <c r="B151" s="100">
        <v>0.71</v>
      </c>
    </row>
    <row r="152" spans="1:2" x14ac:dyDescent="0.3">
      <c r="A152" s="88">
        <v>150</v>
      </c>
      <c r="B152" s="100">
        <v>0.7</v>
      </c>
    </row>
    <row r="153" spans="1:2" x14ac:dyDescent="0.3">
      <c r="A153" s="88">
        <v>151</v>
      </c>
      <c r="B153" s="100">
        <v>0.7</v>
      </c>
    </row>
    <row r="154" spans="1:2" x14ac:dyDescent="0.3">
      <c r="A154" s="88">
        <v>152</v>
      </c>
      <c r="B154" s="100">
        <v>0.7</v>
      </c>
    </row>
    <row r="155" spans="1:2" x14ac:dyDescent="0.3">
      <c r="A155" s="88">
        <v>153</v>
      </c>
      <c r="B155" s="100">
        <v>0.7</v>
      </c>
    </row>
    <row r="156" spans="1:2" x14ac:dyDescent="0.3">
      <c r="A156" s="88">
        <v>154</v>
      </c>
      <c r="B156" s="100">
        <v>0.7</v>
      </c>
    </row>
    <row r="157" spans="1:2" x14ac:dyDescent="0.3">
      <c r="A157" s="88">
        <v>155</v>
      </c>
      <c r="B157" s="100">
        <v>0.69</v>
      </c>
    </row>
    <row r="158" spans="1:2" x14ac:dyDescent="0.3">
      <c r="A158" s="88">
        <v>156</v>
      </c>
      <c r="B158" s="100">
        <v>0.69</v>
      </c>
    </row>
    <row r="159" spans="1:2" x14ac:dyDescent="0.3">
      <c r="A159" s="88">
        <v>157</v>
      </c>
      <c r="B159" s="100">
        <v>0.69</v>
      </c>
    </row>
    <row r="160" spans="1:2" x14ac:dyDescent="0.3">
      <c r="A160" s="88">
        <v>158</v>
      </c>
      <c r="B160" s="100">
        <v>0.69</v>
      </c>
    </row>
    <row r="161" spans="1:2" x14ac:dyDescent="0.3">
      <c r="A161" s="88">
        <v>159</v>
      </c>
      <c r="B161" s="100">
        <v>0.69</v>
      </c>
    </row>
    <row r="162" spans="1:2" x14ac:dyDescent="0.3">
      <c r="A162" s="88">
        <v>160</v>
      </c>
      <c r="B162" s="100">
        <v>0.68</v>
      </c>
    </row>
    <row r="163" spans="1:2" x14ac:dyDescent="0.3">
      <c r="A163" s="88">
        <v>161</v>
      </c>
      <c r="B163" s="100">
        <v>0.68</v>
      </c>
    </row>
    <row r="164" spans="1:2" x14ac:dyDescent="0.3">
      <c r="A164" s="88">
        <v>162</v>
      </c>
      <c r="B164" s="100">
        <v>0.68</v>
      </c>
    </row>
    <row r="165" spans="1:2" x14ac:dyDescent="0.3">
      <c r="A165" s="88">
        <v>163</v>
      </c>
      <c r="B165" s="100">
        <v>0.68</v>
      </c>
    </row>
    <row r="166" spans="1:2" x14ac:dyDescent="0.3">
      <c r="A166" s="88">
        <v>164</v>
      </c>
      <c r="B166" s="100">
        <v>0.68</v>
      </c>
    </row>
    <row r="167" spans="1:2" x14ac:dyDescent="0.3">
      <c r="A167" s="88">
        <v>165</v>
      </c>
      <c r="B167" s="100">
        <v>0.67</v>
      </c>
    </row>
    <row r="168" spans="1:2" x14ac:dyDescent="0.3">
      <c r="A168" s="88">
        <v>166</v>
      </c>
      <c r="B168" s="100">
        <v>0.67</v>
      </c>
    </row>
    <row r="169" spans="1:2" x14ac:dyDescent="0.3">
      <c r="A169" s="88">
        <v>167</v>
      </c>
      <c r="B169" s="100">
        <v>0.67</v>
      </c>
    </row>
    <row r="170" spans="1:2" x14ac:dyDescent="0.3">
      <c r="A170" s="88">
        <v>168</v>
      </c>
      <c r="B170" s="100">
        <v>0.67</v>
      </c>
    </row>
    <row r="171" spans="1:2" x14ac:dyDescent="0.3">
      <c r="A171" s="88">
        <v>169</v>
      </c>
      <c r="B171" s="100">
        <v>0.67</v>
      </c>
    </row>
    <row r="172" spans="1:2" x14ac:dyDescent="0.3">
      <c r="A172" s="88">
        <v>170</v>
      </c>
      <c r="B172" s="100">
        <v>0.66</v>
      </c>
    </row>
    <row r="173" spans="1:2" x14ac:dyDescent="0.3">
      <c r="A173" s="88">
        <v>171</v>
      </c>
      <c r="B173" s="100">
        <v>0.66</v>
      </c>
    </row>
    <row r="174" spans="1:2" x14ac:dyDescent="0.3">
      <c r="A174" s="88">
        <v>172</v>
      </c>
      <c r="B174" s="100">
        <v>0.66</v>
      </c>
    </row>
    <row r="175" spans="1:2" x14ac:dyDescent="0.3">
      <c r="A175" s="88">
        <v>173</v>
      </c>
      <c r="B175" s="100">
        <v>0.66</v>
      </c>
    </row>
    <row r="176" spans="1:2" x14ac:dyDescent="0.3">
      <c r="A176" s="88">
        <v>174</v>
      </c>
      <c r="B176" s="100">
        <v>0.66</v>
      </c>
    </row>
    <row r="177" spans="1:2" x14ac:dyDescent="0.3">
      <c r="A177" s="88">
        <v>175</v>
      </c>
      <c r="B177" s="100">
        <v>0.65</v>
      </c>
    </row>
    <row r="178" spans="1:2" x14ac:dyDescent="0.3">
      <c r="A178" s="88">
        <v>176</v>
      </c>
      <c r="B178" s="100">
        <v>0.65</v>
      </c>
    </row>
    <row r="179" spans="1:2" x14ac:dyDescent="0.3">
      <c r="A179" s="88">
        <v>177</v>
      </c>
      <c r="B179" s="100">
        <v>0.65</v>
      </c>
    </row>
    <row r="180" spans="1:2" x14ac:dyDescent="0.3">
      <c r="A180" s="88">
        <v>178</v>
      </c>
      <c r="B180" s="100">
        <v>0.65</v>
      </c>
    </row>
    <row r="181" spans="1:2" x14ac:dyDescent="0.3">
      <c r="A181" s="88">
        <v>179</v>
      </c>
      <c r="B181" s="100">
        <v>0.65</v>
      </c>
    </row>
    <row r="182" spans="1:2" x14ac:dyDescent="0.3">
      <c r="A182" s="88">
        <v>180</v>
      </c>
      <c r="B182" s="100">
        <v>0.64</v>
      </c>
    </row>
    <row r="183" spans="1:2" x14ac:dyDescent="0.3">
      <c r="A183" s="88">
        <v>181</v>
      </c>
      <c r="B183" s="100">
        <v>0.64</v>
      </c>
    </row>
    <row r="184" spans="1:2" x14ac:dyDescent="0.3">
      <c r="A184" s="88">
        <v>182</v>
      </c>
      <c r="B184" s="100">
        <v>0.64</v>
      </c>
    </row>
    <row r="185" spans="1:2" x14ac:dyDescent="0.3">
      <c r="A185" s="88">
        <v>183</v>
      </c>
      <c r="B185" s="100">
        <v>0.64</v>
      </c>
    </row>
    <row r="186" spans="1:2" x14ac:dyDescent="0.3">
      <c r="A186" s="88">
        <v>184</v>
      </c>
      <c r="B186" s="100">
        <v>0.64</v>
      </c>
    </row>
    <row r="187" spans="1:2" x14ac:dyDescent="0.3">
      <c r="A187" s="88">
        <v>185</v>
      </c>
      <c r="B187" s="100">
        <v>0.63</v>
      </c>
    </row>
    <row r="188" spans="1:2" x14ac:dyDescent="0.3">
      <c r="A188" s="88">
        <v>186</v>
      </c>
      <c r="B188" s="100">
        <v>0.63</v>
      </c>
    </row>
    <row r="189" spans="1:2" x14ac:dyDescent="0.3">
      <c r="A189" s="88">
        <v>187</v>
      </c>
      <c r="B189" s="100">
        <v>0.63</v>
      </c>
    </row>
    <row r="190" spans="1:2" x14ac:dyDescent="0.3">
      <c r="A190" s="88">
        <v>188</v>
      </c>
      <c r="B190" s="100">
        <v>0.63</v>
      </c>
    </row>
    <row r="191" spans="1:2" x14ac:dyDescent="0.3">
      <c r="A191" s="88">
        <v>189</v>
      </c>
      <c r="B191" s="100">
        <v>0.63</v>
      </c>
    </row>
    <row r="192" spans="1:2" x14ac:dyDescent="0.3">
      <c r="A192" s="88">
        <v>190</v>
      </c>
      <c r="B192" s="100">
        <v>0.62</v>
      </c>
    </row>
    <row r="193" spans="1:2" x14ac:dyDescent="0.3">
      <c r="A193" s="88">
        <v>191</v>
      </c>
      <c r="B193" s="100">
        <v>0.62</v>
      </c>
    </row>
    <row r="194" spans="1:2" x14ac:dyDescent="0.3">
      <c r="A194" s="88">
        <v>192</v>
      </c>
      <c r="B194" s="100">
        <v>0.62</v>
      </c>
    </row>
    <row r="195" spans="1:2" x14ac:dyDescent="0.3">
      <c r="A195" s="88">
        <v>193</v>
      </c>
      <c r="B195" s="100">
        <v>0.62</v>
      </c>
    </row>
    <row r="196" spans="1:2" x14ac:dyDescent="0.3">
      <c r="A196" s="88">
        <v>194</v>
      </c>
      <c r="B196" s="100">
        <v>0.62</v>
      </c>
    </row>
    <row r="197" spans="1:2" x14ac:dyDescent="0.3">
      <c r="A197" s="88">
        <v>195</v>
      </c>
      <c r="B197" s="100">
        <v>0.61</v>
      </c>
    </row>
    <row r="198" spans="1:2" x14ac:dyDescent="0.3">
      <c r="A198" s="88">
        <v>196</v>
      </c>
      <c r="B198" s="100">
        <v>0.61</v>
      </c>
    </row>
    <row r="199" spans="1:2" x14ac:dyDescent="0.3">
      <c r="A199" s="88">
        <v>197</v>
      </c>
      <c r="B199" s="100">
        <v>0.61</v>
      </c>
    </row>
    <row r="200" spans="1:2" x14ac:dyDescent="0.3">
      <c r="A200" s="88">
        <v>198</v>
      </c>
      <c r="B200" s="100">
        <v>0.61</v>
      </c>
    </row>
    <row r="201" spans="1:2" x14ac:dyDescent="0.3">
      <c r="A201" s="88">
        <v>199</v>
      </c>
      <c r="B201" s="100">
        <v>0.61</v>
      </c>
    </row>
    <row r="202" spans="1:2" x14ac:dyDescent="0.3">
      <c r="A202" s="88">
        <v>200</v>
      </c>
      <c r="B202" s="100">
        <v>0.6</v>
      </c>
    </row>
    <row r="203" spans="1:2" x14ac:dyDescent="0.3">
      <c r="A203" s="88">
        <v>201</v>
      </c>
      <c r="B203" s="100">
        <v>0.6</v>
      </c>
    </row>
    <row r="204" spans="1:2" x14ac:dyDescent="0.3">
      <c r="A204" s="88">
        <v>202</v>
      </c>
      <c r="B204" s="100">
        <v>0.6</v>
      </c>
    </row>
    <row r="205" spans="1:2" x14ac:dyDescent="0.3">
      <c r="A205" s="88">
        <v>203</v>
      </c>
      <c r="B205" s="100">
        <v>0.6</v>
      </c>
    </row>
    <row r="206" spans="1:2" x14ac:dyDescent="0.3">
      <c r="A206" s="88">
        <v>204</v>
      </c>
      <c r="B206" s="100">
        <v>0.6</v>
      </c>
    </row>
    <row r="207" spans="1:2" x14ac:dyDescent="0.3">
      <c r="A207" s="88">
        <v>205</v>
      </c>
      <c r="B207" s="100">
        <v>0.59</v>
      </c>
    </row>
    <row r="208" spans="1:2" x14ac:dyDescent="0.3">
      <c r="A208" s="88">
        <v>206</v>
      </c>
      <c r="B208" s="100">
        <v>0.59</v>
      </c>
    </row>
    <row r="209" spans="1:2" x14ac:dyDescent="0.3">
      <c r="A209" s="88">
        <v>207</v>
      </c>
      <c r="B209" s="100">
        <v>0.59</v>
      </c>
    </row>
    <row r="210" spans="1:2" x14ac:dyDescent="0.3">
      <c r="A210" s="88">
        <v>208</v>
      </c>
      <c r="B210" s="100">
        <v>0.59</v>
      </c>
    </row>
    <row r="211" spans="1:2" x14ac:dyDescent="0.3">
      <c r="A211" s="88">
        <v>209</v>
      </c>
      <c r="B211" s="100">
        <v>0.59</v>
      </c>
    </row>
    <row r="212" spans="1:2" x14ac:dyDescent="0.3">
      <c r="A212" s="88">
        <v>210</v>
      </c>
      <c r="B212" s="100">
        <v>0.57999999999999996</v>
      </c>
    </row>
    <row r="213" spans="1:2" x14ac:dyDescent="0.3">
      <c r="A213" s="88">
        <v>211</v>
      </c>
      <c r="B213" s="100">
        <v>0.57999999999999996</v>
      </c>
    </row>
    <row r="214" spans="1:2" x14ac:dyDescent="0.3">
      <c r="A214" s="88">
        <v>212</v>
      </c>
      <c r="B214" s="100">
        <v>0.57999999999999996</v>
      </c>
    </row>
    <row r="215" spans="1:2" x14ac:dyDescent="0.3">
      <c r="A215" s="88">
        <v>213</v>
      </c>
      <c r="B215" s="100">
        <v>0.57999999999999996</v>
      </c>
    </row>
    <row r="216" spans="1:2" x14ac:dyDescent="0.3">
      <c r="A216" s="88">
        <v>214</v>
      </c>
      <c r="B216" s="100">
        <v>0.57999999999999996</v>
      </c>
    </row>
    <row r="217" spans="1:2" x14ac:dyDescent="0.3">
      <c r="A217" s="88">
        <v>215</v>
      </c>
      <c r="B217" s="100">
        <v>0.56999999999999995</v>
      </c>
    </row>
    <row r="218" spans="1:2" x14ac:dyDescent="0.3">
      <c r="A218" s="88">
        <v>216</v>
      </c>
      <c r="B218" s="100">
        <v>0.56999999999999995</v>
      </c>
    </row>
    <row r="219" spans="1:2" x14ac:dyDescent="0.3">
      <c r="A219" s="88">
        <v>217</v>
      </c>
      <c r="B219" s="100">
        <v>0.56999999999999995</v>
      </c>
    </row>
    <row r="220" spans="1:2" x14ac:dyDescent="0.3">
      <c r="A220" s="88">
        <v>218</v>
      </c>
      <c r="B220" s="100">
        <v>0.56999999999999995</v>
      </c>
    </row>
    <row r="221" spans="1:2" x14ac:dyDescent="0.3">
      <c r="A221" s="88">
        <v>219</v>
      </c>
      <c r="B221" s="100">
        <v>0.56999999999999995</v>
      </c>
    </row>
    <row r="222" spans="1:2" x14ac:dyDescent="0.3">
      <c r="A222" s="88">
        <v>220</v>
      </c>
      <c r="B222" s="100">
        <v>0.56000000000000005</v>
      </c>
    </row>
    <row r="223" spans="1:2" x14ac:dyDescent="0.3">
      <c r="A223" s="88">
        <v>221</v>
      </c>
      <c r="B223" s="100">
        <v>0.56000000000000005</v>
      </c>
    </row>
    <row r="224" spans="1:2" x14ac:dyDescent="0.3">
      <c r="A224" s="88">
        <v>222</v>
      </c>
      <c r="B224" s="100">
        <v>0.56000000000000005</v>
      </c>
    </row>
    <row r="225" spans="1:2" x14ac:dyDescent="0.3">
      <c r="A225" s="88">
        <v>223</v>
      </c>
      <c r="B225" s="100">
        <v>0.56000000000000005</v>
      </c>
    </row>
    <row r="226" spans="1:2" x14ac:dyDescent="0.3">
      <c r="A226" s="88">
        <v>224</v>
      </c>
      <c r="B226" s="100">
        <v>0.56000000000000005</v>
      </c>
    </row>
    <row r="227" spans="1:2" x14ac:dyDescent="0.3">
      <c r="A227" s="88">
        <v>225</v>
      </c>
      <c r="B227" s="100">
        <v>0.55000000000000004</v>
      </c>
    </row>
    <row r="228" spans="1:2" x14ac:dyDescent="0.3">
      <c r="A228" s="88">
        <v>226</v>
      </c>
      <c r="B228" s="100">
        <v>0.55000000000000004</v>
      </c>
    </row>
    <row r="229" spans="1:2" x14ac:dyDescent="0.3">
      <c r="A229" s="88">
        <v>227</v>
      </c>
      <c r="B229" s="100">
        <v>0.55000000000000004</v>
      </c>
    </row>
    <row r="230" spans="1:2" x14ac:dyDescent="0.3">
      <c r="A230" s="88">
        <v>228</v>
      </c>
      <c r="B230" s="100">
        <v>0.55000000000000004</v>
      </c>
    </row>
    <row r="231" spans="1:2" x14ac:dyDescent="0.3">
      <c r="A231" s="88">
        <v>229</v>
      </c>
      <c r="B231" s="100">
        <v>0.55000000000000004</v>
      </c>
    </row>
    <row r="232" spans="1:2" x14ac:dyDescent="0.3">
      <c r="A232" s="88">
        <v>230</v>
      </c>
      <c r="B232" s="100">
        <v>0.54</v>
      </c>
    </row>
    <row r="233" spans="1:2" x14ac:dyDescent="0.3">
      <c r="A233" s="88">
        <v>231</v>
      </c>
      <c r="B233" s="100">
        <v>0.54</v>
      </c>
    </row>
    <row r="234" spans="1:2" x14ac:dyDescent="0.3">
      <c r="A234" s="88">
        <v>232</v>
      </c>
      <c r="B234" s="100">
        <v>0.54</v>
      </c>
    </row>
    <row r="235" spans="1:2" x14ac:dyDescent="0.3">
      <c r="A235" s="88">
        <v>233</v>
      </c>
      <c r="B235" s="100">
        <v>0.54</v>
      </c>
    </row>
    <row r="236" spans="1:2" x14ac:dyDescent="0.3">
      <c r="A236" s="88">
        <v>234</v>
      </c>
      <c r="B236" s="100">
        <v>0.54</v>
      </c>
    </row>
    <row r="237" spans="1:2" x14ac:dyDescent="0.3">
      <c r="A237" s="88">
        <v>235</v>
      </c>
      <c r="B237" s="100">
        <v>0.53</v>
      </c>
    </row>
    <row r="238" spans="1:2" x14ac:dyDescent="0.3">
      <c r="A238" s="88">
        <v>236</v>
      </c>
      <c r="B238" s="100">
        <v>0.53</v>
      </c>
    </row>
    <row r="239" spans="1:2" x14ac:dyDescent="0.3">
      <c r="A239" s="88">
        <v>237</v>
      </c>
      <c r="B239" s="100">
        <v>0.53</v>
      </c>
    </row>
    <row r="240" spans="1:2" x14ac:dyDescent="0.3">
      <c r="A240" s="88">
        <v>238</v>
      </c>
      <c r="B240" s="100">
        <v>0.53</v>
      </c>
    </row>
    <row r="241" spans="1:2" x14ac:dyDescent="0.3">
      <c r="A241" s="88">
        <v>239</v>
      </c>
      <c r="B241" s="100">
        <v>0.53</v>
      </c>
    </row>
    <row r="242" spans="1:2" x14ac:dyDescent="0.3">
      <c r="A242" s="88">
        <v>240</v>
      </c>
      <c r="B242" s="100">
        <v>0.52</v>
      </c>
    </row>
    <row r="243" spans="1:2" x14ac:dyDescent="0.3">
      <c r="A243" s="88">
        <v>241</v>
      </c>
      <c r="B243" s="100">
        <v>0.52</v>
      </c>
    </row>
    <row r="244" spans="1:2" x14ac:dyDescent="0.3">
      <c r="A244" s="88">
        <v>242</v>
      </c>
      <c r="B244" s="100">
        <v>0.52</v>
      </c>
    </row>
    <row r="245" spans="1:2" x14ac:dyDescent="0.3">
      <c r="A245" s="88">
        <v>243</v>
      </c>
      <c r="B245" s="100">
        <v>0.52</v>
      </c>
    </row>
    <row r="246" spans="1:2" x14ac:dyDescent="0.3">
      <c r="A246" s="88">
        <v>244</v>
      </c>
      <c r="B246" s="100">
        <v>0.52</v>
      </c>
    </row>
    <row r="247" spans="1:2" x14ac:dyDescent="0.3">
      <c r="A247" s="88">
        <v>245</v>
      </c>
      <c r="B247" s="100">
        <v>0.51</v>
      </c>
    </row>
    <row r="248" spans="1:2" x14ac:dyDescent="0.3">
      <c r="A248" s="88">
        <v>246</v>
      </c>
      <c r="B248" s="100">
        <v>0.51</v>
      </c>
    </row>
    <row r="249" spans="1:2" x14ac:dyDescent="0.3">
      <c r="A249" s="88">
        <v>247</v>
      </c>
      <c r="B249" s="100">
        <v>0.51</v>
      </c>
    </row>
    <row r="250" spans="1:2" x14ac:dyDescent="0.3">
      <c r="A250" s="88">
        <v>248</v>
      </c>
      <c r="B250" s="100">
        <v>0.51</v>
      </c>
    </row>
    <row r="251" spans="1:2" x14ac:dyDescent="0.3">
      <c r="A251" s="88">
        <v>249</v>
      </c>
      <c r="B251" s="100">
        <v>0.51</v>
      </c>
    </row>
    <row r="252" spans="1:2" x14ac:dyDescent="0.3">
      <c r="A252" s="88">
        <v>250</v>
      </c>
      <c r="B252" s="100">
        <v>0.5</v>
      </c>
    </row>
    <row r="253" spans="1:2" x14ac:dyDescent="0.3">
      <c r="A253" s="88">
        <v>251</v>
      </c>
      <c r="B253" s="100">
        <v>0.5</v>
      </c>
    </row>
    <row r="254" spans="1:2" x14ac:dyDescent="0.3">
      <c r="A254" s="88">
        <v>252</v>
      </c>
      <c r="B254" s="100">
        <v>0.5</v>
      </c>
    </row>
    <row r="255" spans="1:2" x14ac:dyDescent="0.3">
      <c r="A255" s="88">
        <v>253</v>
      </c>
      <c r="B255" s="100">
        <v>0.5</v>
      </c>
    </row>
    <row r="256" spans="1:2" x14ac:dyDescent="0.3">
      <c r="A256" s="88">
        <v>254</v>
      </c>
      <c r="B256" s="100">
        <v>0.5</v>
      </c>
    </row>
    <row r="257" spans="1:2" x14ac:dyDescent="0.3">
      <c r="A257" s="88">
        <v>255</v>
      </c>
      <c r="B257" s="100">
        <v>0.49</v>
      </c>
    </row>
    <row r="258" spans="1:2" x14ac:dyDescent="0.3">
      <c r="A258" s="88">
        <v>256</v>
      </c>
      <c r="B258" s="100">
        <v>0.49</v>
      </c>
    </row>
    <row r="259" spans="1:2" x14ac:dyDescent="0.3">
      <c r="A259" s="88">
        <v>257</v>
      </c>
      <c r="B259" s="100">
        <v>0.49</v>
      </c>
    </row>
    <row r="260" spans="1:2" x14ac:dyDescent="0.3">
      <c r="A260" s="88">
        <v>258</v>
      </c>
      <c r="B260" s="100">
        <v>0.49</v>
      </c>
    </row>
    <row r="261" spans="1:2" x14ac:dyDescent="0.3">
      <c r="A261" s="88">
        <v>259</v>
      </c>
      <c r="B261" s="100">
        <v>0.49</v>
      </c>
    </row>
    <row r="262" spans="1:2" x14ac:dyDescent="0.3">
      <c r="A262" s="88">
        <v>260</v>
      </c>
      <c r="B262" s="100">
        <v>0.48</v>
      </c>
    </row>
    <row r="263" spans="1:2" x14ac:dyDescent="0.3">
      <c r="A263" s="88">
        <v>261</v>
      </c>
      <c r="B263" s="100">
        <v>0.48</v>
      </c>
    </row>
    <row r="264" spans="1:2" x14ac:dyDescent="0.3">
      <c r="A264" s="88">
        <v>262</v>
      </c>
      <c r="B264" s="100">
        <v>0.48</v>
      </c>
    </row>
    <row r="265" spans="1:2" x14ac:dyDescent="0.3">
      <c r="A265" s="88">
        <v>263</v>
      </c>
      <c r="B265" s="100">
        <v>0.48</v>
      </c>
    </row>
    <row r="266" spans="1:2" x14ac:dyDescent="0.3">
      <c r="A266" s="88">
        <v>264</v>
      </c>
      <c r="B266" s="100">
        <v>0.48</v>
      </c>
    </row>
    <row r="267" spans="1:2" x14ac:dyDescent="0.3">
      <c r="A267" s="88">
        <v>265</v>
      </c>
      <c r="B267" s="100">
        <v>0.47</v>
      </c>
    </row>
    <row r="268" spans="1:2" x14ac:dyDescent="0.3">
      <c r="A268" s="88">
        <v>266</v>
      </c>
      <c r="B268" s="100">
        <v>0.47</v>
      </c>
    </row>
    <row r="269" spans="1:2" x14ac:dyDescent="0.3">
      <c r="A269" s="88">
        <v>267</v>
      </c>
      <c r="B269" s="100">
        <v>0.47</v>
      </c>
    </row>
    <row r="270" spans="1:2" x14ac:dyDescent="0.3">
      <c r="A270" s="88">
        <v>268</v>
      </c>
      <c r="B270" s="100">
        <v>0.47</v>
      </c>
    </row>
    <row r="271" spans="1:2" x14ac:dyDescent="0.3">
      <c r="A271" s="88">
        <v>269</v>
      </c>
      <c r="B271" s="100">
        <v>0.47</v>
      </c>
    </row>
    <row r="272" spans="1:2" x14ac:dyDescent="0.3">
      <c r="A272" s="88">
        <v>270</v>
      </c>
      <c r="B272" s="100">
        <v>0.46</v>
      </c>
    </row>
    <row r="273" spans="1:2" x14ac:dyDescent="0.3">
      <c r="A273" s="88">
        <v>271</v>
      </c>
      <c r="B273" s="100">
        <v>0.46</v>
      </c>
    </row>
    <row r="274" spans="1:2" x14ac:dyDescent="0.3">
      <c r="A274" s="88">
        <v>272</v>
      </c>
      <c r="B274" s="100">
        <v>0.46</v>
      </c>
    </row>
    <row r="275" spans="1:2" x14ac:dyDescent="0.3">
      <c r="A275" s="88">
        <v>273</v>
      </c>
      <c r="B275" s="100">
        <v>0.46</v>
      </c>
    </row>
    <row r="276" spans="1:2" x14ac:dyDescent="0.3">
      <c r="A276" s="88">
        <v>274</v>
      </c>
      <c r="B276" s="100">
        <v>0.46</v>
      </c>
    </row>
    <row r="277" spans="1:2" x14ac:dyDescent="0.3">
      <c r="A277" s="88">
        <v>275</v>
      </c>
      <c r="B277" s="100">
        <v>0.45</v>
      </c>
    </row>
    <row r="278" spans="1:2" x14ac:dyDescent="0.3">
      <c r="A278" s="88">
        <v>276</v>
      </c>
      <c r="B278" s="100">
        <v>0.45</v>
      </c>
    </row>
    <row r="279" spans="1:2" x14ac:dyDescent="0.3">
      <c r="A279" s="88">
        <v>277</v>
      </c>
      <c r="B279" s="100">
        <v>0.45</v>
      </c>
    </row>
    <row r="280" spans="1:2" x14ac:dyDescent="0.3">
      <c r="A280" s="88">
        <v>278</v>
      </c>
      <c r="B280" s="100">
        <v>0.45</v>
      </c>
    </row>
    <row r="281" spans="1:2" x14ac:dyDescent="0.3">
      <c r="A281" s="88">
        <v>279</v>
      </c>
      <c r="B281" s="100">
        <v>0.45</v>
      </c>
    </row>
    <row r="282" spans="1:2" x14ac:dyDescent="0.3">
      <c r="A282" s="88">
        <v>280</v>
      </c>
      <c r="B282" s="100">
        <v>0.44</v>
      </c>
    </row>
    <row r="283" spans="1:2" x14ac:dyDescent="0.3">
      <c r="A283" s="88">
        <v>281</v>
      </c>
      <c r="B283" s="100">
        <v>0.44</v>
      </c>
    </row>
    <row r="284" spans="1:2" x14ac:dyDescent="0.3">
      <c r="A284" s="88">
        <v>282</v>
      </c>
      <c r="B284" s="100">
        <v>0.44</v>
      </c>
    </row>
    <row r="285" spans="1:2" x14ac:dyDescent="0.3">
      <c r="A285" s="88">
        <v>283</v>
      </c>
      <c r="B285" s="100">
        <v>0.44</v>
      </c>
    </row>
    <row r="286" spans="1:2" x14ac:dyDescent="0.3">
      <c r="A286" s="88">
        <v>284</v>
      </c>
      <c r="B286" s="100">
        <v>0.44</v>
      </c>
    </row>
    <row r="287" spans="1:2" x14ac:dyDescent="0.3">
      <c r="A287" s="88">
        <v>285</v>
      </c>
      <c r="B287" s="100">
        <v>0.43</v>
      </c>
    </row>
    <row r="288" spans="1:2" x14ac:dyDescent="0.3">
      <c r="A288" s="88">
        <v>286</v>
      </c>
      <c r="B288" s="100">
        <v>0.43</v>
      </c>
    </row>
    <row r="289" spans="1:2" x14ac:dyDescent="0.3">
      <c r="A289" s="88">
        <v>287</v>
      </c>
      <c r="B289" s="100">
        <v>0.43</v>
      </c>
    </row>
    <row r="290" spans="1:2" x14ac:dyDescent="0.3">
      <c r="A290" s="88">
        <v>288</v>
      </c>
      <c r="B290" s="100">
        <v>0.43</v>
      </c>
    </row>
    <row r="291" spans="1:2" x14ac:dyDescent="0.3">
      <c r="A291" s="88">
        <v>289</v>
      </c>
      <c r="B291" s="100">
        <v>0.43</v>
      </c>
    </row>
    <row r="292" spans="1:2" x14ac:dyDescent="0.3">
      <c r="A292" s="88">
        <v>290</v>
      </c>
      <c r="B292" s="100">
        <v>0.42</v>
      </c>
    </row>
    <row r="293" spans="1:2" x14ac:dyDescent="0.3">
      <c r="A293" s="88">
        <v>291</v>
      </c>
      <c r="B293" s="100">
        <v>0.42</v>
      </c>
    </row>
    <row r="294" spans="1:2" x14ac:dyDescent="0.3">
      <c r="A294" s="88">
        <v>292</v>
      </c>
      <c r="B294" s="100">
        <v>0.42</v>
      </c>
    </row>
    <row r="295" spans="1:2" x14ac:dyDescent="0.3">
      <c r="A295" s="88">
        <v>293</v>
      </c>
      <c r="B295" s="100">
        <v>0.42</v>
      </c>
    </row>
    <row r="296" spans="1:2" x14ac:dyDescent="0.3">
      <c r="A296" s="88">
        <v>294</v>
      </c>
      <c r="B296" s="100">
        <v>0.42</v>
      </c>
    </row>
    <row r="297" spans="1:2" x14ac:dyDescent="0.3">
      <c r="A297" s="88">
        <v>295</v>
      </c>
      <c r="B297" s="100">
        <v>0.41</v>
      </c>
    </row>
    <row r="298" spans="1:2" x14ac:dyDescent="0.3">
      <c r="A298" s="88">
        <v>296</v>
      </c>
      <c r="B298" s="100">
        <v>0.41</v>
      </c>
    </row>
    <row r="299" spans="1:2" x14ac:dyDescent="0.3">
      <c r="A299" s="88">
        <v>297</v>
      </c>
      <c r="B299" s="100">
        <v>0.41</v>
      </c>
    </row>
    <row r="300" spans="1:2" x14ac:dyDescent="0.3">
      <c r="A300" s="88">
        <v>298</v>
      </c>
      <c r="B300" s="100">
        <v>0.41</v>
      </c>
    </row>
    <row r="301" spans="1:2" x14ac:dyDescent="0.3">
      <c r="A301" s="88">
        <v>299</v>
      </c>
      <c r="B301" s="100">
        <v>0.41</v>
      </c>
    </row>
    <row r="302" spans="1:2" x14ac:dyDescent="0.3">
      <c r="A302" s="88">
        <v>300</v>
      </c>
      <c r="B302" s="100">
        <v>0.4</v>
      </c>
    </row>
    <row r="303" spans="1:2" x14ac:dyDescent="0.3">
      <c r="A303" s="88">
        <v>301</v>
      </c>
      <c r="B303" s="100">
        <v>0.4</v>
      </c>
    </row>
    <row r="304" spans="1:2" x14ac:dyDescent="0.3">
      <c r="A304" s="88">
        <v>302</v>
      </c>
      <c r="B304" s="100">
        <v>0.4</v>
      </c>
    </row>
    <row r="305" spans="1:2" x14ac:dyDescent="0.3">
      <c r="A305" s="88">
        <v>303</v>
      </c>
      <c r="B305" s="100">
        <v>0.4</v>
      </c>
    </row>
    <row r="306" spans="1:2" x14ac:dyDescent="0.3">
      <c r="A306" s="88">
        <v>304</v>
      </c>
      <c r="B306" s="100">
        <v>0.4</v>
      </c>
    </row>
    <row r="307" spans="1:2" x14ac:dyDescent="0.3">
      <c r="A307" s="88">
        <v>305</v>
      </c>
      <c r="B307" s="100">
        <v>0.39</v>
      </c>
    </row>
    <row r="308" spans="1:2" x14ac:dyDescent="0.3">
      <c r="A308" s="88">
        <v>306</v>
      </c>
      <c r="B308" s="100">
        <v>0.39</v>
      </c>
    </row>
    <row r="309" spans="1:2" x14ac:dyDescent="0.3">
      <c r="A309" s="88">
        <v>307</v>
      </c>
      <c r="B309" s="100">
        <v>0.39</v>
      </c>
    </row>
    <row r="310" spans="1:2" x14ac:dyDescent="0.3">
      <c r="A310" s="88">
        <v>308</v>
      </c>
      <c r="B310" s="100">
        <v>0.39</v>
      </c>
    </row>
    <row r="311" spans="1:2" x14ac:dyDescent="0.3">
      <c r="A311" s="88">
        <v>309</v>
      </c>
      <c r="B311" s="100">
        <v>0.39</v>
      </c>
    </row>
    <row r="312" spans="1:2" x14ac:dyDescent="0.3">
      <c r="A312" s="88">
        <v>310</v>
      </c>
      <c r="B312" s="100">
        <v>0.38</v>
      </c>
    </row>
    <row r="313" spans="1:2" x14ac:dyDescent="0.3">
      <c r="A313" s="88">
        <v>311</v>
      </c>
      <c r="B313" s="100">
        <v>0.38</v>
      </c>
    </row>
    <row r="314" spans="1:2" x14ac:dyDescent="0.3">
      <c r="A314" s="88">
        <v>312</v>
      </c>
      <c r="B314" s="100">
        <v>0.38</v>
      </c>
    </row>
    <row r="315" spans="1:2" x14ac:dyDescent="0.3">
      <c r="A315" s="88">
        <v>313</v>
      </c>
      <c r="B315" s="100">
        <v>0.38</v>
      </c>
    </row>
    <row r="316" spans="1:2" x14ac:dyDescent="0.3">
      <c r="A316" s="88">
        <v>314</v>
      </c>
      <c r="B316" s="100">
        <v>0.38</v>
      </c>
    </row>
    <row r="317" spans="1:2" x14ac:dyDescent="0.3">
      <c r="A317" s="88">
        <v>315</v>
      </c>
      <c r="B317" s="100">
        <v>0.37</v>
      </c>
    </row>
    <row r="318" spans="1:2" x14ac:dyDescent="0.3">
      <c r="A318" s="88">
        <v>316</v>
      </c>
      <c r="B318" s="100">
        <v>0.37</v>
      </c>
    </row>
    <row r="319" spans="1:2" x14ac:dyDescent="0.3">
      <c r="A319" s="88">
        <v>317</v>
      </c>
      <c r="B319" s="100">
        <v>0.37</v>
      </c>
    </row>
    <row r="320" spans="1:2" x14ac:dyDescent="0.3">
      <c r="A320" s="88">
        <v>318</v>
      </c>
      <c r="B320" s="100">
        <v>0.37</v>
      </c>
    </row>
    <row r="321" spans="1:2" x14ac:dyDescent="0.3">
      <c r="A321" s="88">
        <v>319</v>
      </c>
      <c r="B321" s="100">
        <v>0.37</v>
      </c>
    </row>
    <row r="322" spans="1:2" x14ac:dyDescent="0.3">
      <c r="A322" s="88">
        <v>320</v>
      </c>
      <c r="B322" s="100">
        <v>0.36</v>
      </c>
    </row>
    <row r="323" spans="1:2" x14ac:dyDescent="0.3">
      <c r="A323" s="88">
        <v>321</v>
      </c>
      <c r="B323" s="100">
        <v>0.36</v>
      </c>
    </row>
    <row r="324" spans="1:2" x14ac:dyDescent="0.3">
      <c r="A324" s="88">
        <v>322</v>
      </c>
      <c r="B324" s="100">
        <v>0.36</v>
      </c>
    </row>
    <row r="325" spans="1:2" x14ac:dyDescent="0.3">
      <c r="A325" s="88">
        <v>323</v>
      </c>
      <c r="B325" s="100">
        <v>0.36</v>
      </c>
    </row>
    <row r="326" spans="1:2" x14ac:dyDescent="0.3">
      <c r="A326" s="88">
        <v>324</v>
      </c>
      <c r="B326" s="100">
        <v>0.36</v>
      </c>
    </row>
    <row r="327" spans="1:2" x14ac:dyDescent="0.3">
      <c r="A327" s="88">
        <v>325</v>
      </c>
      <c r="B327" s="100">
        <v>0.35</v>
      </c>
    </row>
    <row r="328" spans="1:2" x14ac:dyDescent="0.3">
      <c r="A328" s="88">
        <v>326</v>
      </c>
      <c r="B328" s="100">
        <v>0.35</v>
      </c>
    </row>
    <row r="329" spans="1:2" x14ac:dyDescent="0.3">
      <c r="A329" s="88">
        <v>327</v>
      </c>
      <c r="B329" s="100">
        <v>0.35</v>
      </c>
    </row>
    <row r="330" spans="1:2" x14ac:dyDescent="0.3">
      <c r="A330" s="88">
        <v>328</v>
      </c>
      <c r="B330" s="100">
        <v>0.35</v>
      </c>
    </row>
    <row r="331" spans="1:2" x14ac:dyDescent="0.3">
      <c r="A331" s="88">
        <v>329</v>
      </c>
      <c r="B331" s="100">
        <v>0.35</v>
      </c>
    </row>
    <row r="332" spans="1:2" x14ac:dyDescent="0.3">
      <c r="A332" s="88">
        <v>330</v>
      </c>
      <c r="B332" s="100">
        <v>0.34</v>
      </c>
    </row>
    <row r="333" spans="1:2" x14ac:dyDescent="0.3">
      <c r="A333" s="88">
        <v>331</v>
      </c>
      <c r="B333" s="100">
        <v>0.34</v>
      </c>
    </row>
    <row r="334" spans="1:2" x14ac:dyDescent="0.3">
      <c r="A334" s="88">
        <v>332</v>
      </c>
      <c r="B334" s="100">
        <v>0.34</v>
      </c>
    </row>
    <row r="335" spans="1:2" x14ac:dyDescent="0.3">
      <c r="A335" s="88">
        <v>333</v>
      </c>
      <c r="B335" s="100">
        <v>0.34</v>
      </c>
    </row>
    <row r="336" spans="1:2" x14ac:dyDescent="0.3">
      <c r="A336" s="88">
        <v>334</v>
      </c>
      <c r="B336" s="100">
        <v>0.34</v>
      </c>
    </row>
    <row r="337" spans="1:2" x14ac:dyDescent="0.3">
      <c r="A337" s="88">
        <v>335</v>
      </c>
      <c r="B337" s="100">
        <v>0.33</v>
      </c>
    </row>
    <row r="338" spans="1:2" x14ac:dyDescent="0.3">
      <c r="A338" s="88">
        <v>336</v>
      </c>
      <c r="B338" s="100">
        <v>0.33</v>
      </c>
    </row>
    <row r="339" spans="1:2" x14ac:dyDescent="0.3">
      <c r="A339" s="88">
        <v>337</v>
      </c>
      <c r="B339" s="100">
        <v>0.33</v>
      </c>
    </row>
    <row r="340" spans="1:2" x14ac:dyDescent="0.3">
      <c r="A340" s="88">
        <v>338</v>
      </c>
      <c r="B340" s="100">
        <v>0.33</v>
      </c>
    </row>
    <row r="341" spans="1:2" x14ac:dyDescent="0.3">
      <c r="A341" s="88">
        <v>339</v>
      </c>
      <c r="B341" s="100">
        <v>0.33</v>
      </c>
    </row>
    <row r="342" spans="1:2" x14ac:dyDescent="0.3">
      <c r="A342" s="88">
        <v>340</v>
      </c>
      <c r="B342" s="100">
        <v>0.32</v>
      </c>
    </row>
    <row r="343" spans="1:2" x14ac:dyDescent="0.3">
      <c r="A343" s="88">
        <v>341</v>
      </c>
      <c r="B343" s="100">
        <v>0.32</v>
      </c>
    </row>
    <row r="344" spans="1:2" x14ac:dyDescent="0.3">
      <c r="A344" s="88">
        <v>342</v>
      </c>
      <c r="B344" s="100">
        <v>0.32</v>
      </c>
    </row>
    <row r="345" spans="1:2" x14ac:dyDescent="0.3">
      <c r="A345" s="88">
        <v>343</v>
      </c>
      <c r="B345" s="100">
        <v>0.32</v>
      </c>
    </row>
    <row r="346" spans="1:2" x14ac:dyDescent="0.3">
      <c r="A346" s="88">
        <v>344</v>
      </c>
      <c r="B346" s="100">
        <v>0.32</v>
      </c>
    </row>
    <row r="347" spans="1:2" x14ac:dyDescent="0.3">
      <c r="A347" s="88">
        <v>345</v>
      </c>
      <c r="B347" s="100">
        <v>0.31</v>
      </c>
    </row>
    <row r="348" spans="1:2" x14ac:dyDescent="0.3">
      <c r="A348" s="88">
        <v>346</v>
      </c>
      <c r="B348" s="100">
        <v>0.31</v>
      </c>
    </row>
    <row r="349" spans="1:2" x14ac:dyDescent="0.3">
      <c r="A349" s="88">
        <v>347</v>
      </c>
      <c r="B349" s="100">
        <v>0.31</v>
      </c>
    </row>
    <row r="350" spans="1:2" x14ac:dyDescent="0.3">
      <c r="A350" s="88">
        <v>348</v>
      </c>
      <c r="B350" s="100">
        <v>0.31</v>
      </c>
    </row>
    <row r="351" spans="1:2" x14ac:dyDescent="0.3">
      <c r="A351" s="88">
        <v>349</v>
      </c>
      <c r="B351" s="100">
        <v>0.31</v>
      </c>
    </row>
    <row r="352" spans="1:2" x14ac:dyDescent="0.3">
      <c r="A352" s="88">
        <v>350</v>
      </c>
      <c r="B352" s="100">
        <v>0.3</v>
      </c>
    </row>
    <row r="353" spans="1:2" x14ac:dyDescent="0.3">
      <c r="A353" s="88">
        <v>351</v>
      </c>
      <c r="B353" s="100">
        <v>0.3</v>
      </c>
    </row>
    <row r="354" spans="1:2" x14ac:dyDescent="0.3">
      <c r="A354" s="88">
        <v>352</v>
      </c>
      <c r="B354" s="100">
        <v>0.3</v>
      </c>
    </row>
    <row r="355" spans="1:2" x14ac:dyDescent="0.3">
      <c r="A355" s="88">
        <v>353</v>
      </c>
      <c r="B355" s="100">
        <v>0.3</v>
      </c>
    </row>
    <row r="356" spans="1:2" x14ac:dyDescent="0.3">
      <c r="A356" s="88">
        <v>354</v>
      </c>
      <c r="B356" s="100">
        <v>0.3</v>
      </c>
    </row>
    <row r="357" spans="1:2" x14ac:dyDescent="0.3">
      <c r="A357" s="88">
        <v>355</v>
      </c>
      <c r="B357" s="100">
        <v>0.28999999999999998</v>
      </c>
    </row>
    <row r="358" spans="1:2" x14ac:dyDescent="0.3">
      <c r="A358" s="88">
        <v>356</v>
      </c>
      <c r="B358" s="100">
        <v>0.28999999999999998</v>
      </c>
    </row>
    <row r="359" spans="1:2" x14ac:dyDescent="0.3">
      <c r="A359" s="88">
        <v>357</v>
      </c>
      <c r="B359" s="100">
        <v>0.28999999999999998</v>
      </c>
    </row>
    <row r="360" spans="1:2" x14ac:dyDescent="0.3">
      <c r="A360" s="88">
        <v>358</v>
      </c>
      <c r="B360" s="100">
        <v>0.28999999999999998</v>
      </c>
    </row>
    <row r="361" spans="1:2" x14ac:dyDescent="0.3">
      <c r="A361" s="88">
        <v>359</v>
      </c>
      <c r="B361" s="100">
        <v>0.28999999999999998</v>
      </c>
    </row>
    <row r="362" spans="1:2" x14ac:dyDescent="0.3">
      <c r="A362" s="88">
        <v>360</v>
      </c>
      <c r="B362" s="100">
        <v>0.28000000000000003</v>
      </c>
    </row>
    <row r="363" spans="1:2" x14ac:dyDescent="0.3">
      <c r="A363" s="88">
        <v>361</v>
      </c>
      <c r="B363" s="100">
        <v>0.28000000000000003</v>
      </c>
    </row>
    <row r="364" spans="1:2" x14ac:dyDescent="0.3">
      <c r="A364" s="88">
        <v>362</v>
      </c>
      <c r="B364" s="100">
        <v>0.28000000000000003</v>
      </c>
    </row>
    <row r="365" spans="1:2" x14ac:dyDescent="0.3">
      <c r="A365" s="88">
        <v>363</v>
      </c>
      <c r="B365" s="100">
        <v>0.28000000000000003</v>
      </c>
    </row>
    <row r="366" spans="1:2" x14ac:dyDescent="0.3">
      <c r="A366" s="88">
        <v>364</v>
      </c>
      <c r="B366" s="100">
        <v>0.28000000000000003</v>
      </c>
    </row>
    <row r="367" spans="1:2" x14ac:dyDescent="0.3">
      <c r="A367" s="88">
        <v>365</v>
      </c>
      <c r="B367" s="100">
        <v>0.27</v>
      </c>
    </row>
    <row r="368" spans="1:2" x14ac:dyDescent="0.3">
      <c r="A368" s="88">
        <v>366</v>
      </c>
      <c r="B368" s="100">
        <v>0.27</v>
      </c>
    </row>
    <row r="369" spans="1:2" x14ac:dyDescent="0.3">
      <c r="A369" s="88">
        <v>367</v>
      </c>
      <c r="B369" s="100">
        <v>0.27</v>
      </c>
    </row>
    <row r="370" spans="1:2" x14ac:dyDescent="0.3">
      <c r="A370" s="88">
        <v>368</v>
      </c>
      <c r="B370" s="100">
        <v>0.27</v>
      </c>
    </row>
    <row r="371" spans="1:2" x14ac:dyDescent="0.3">
      <c r="A371" s="88">
        <v>369</v>
      </c>
      <c r="B371" s="100">
        <v>0.27</v>
      </c>
    </row>
    <row r="372" spans="1:2" x14ac:dyDescent="0.3">
      <c r="A372" s="88">
        <v>370</v>
      </c>
      <c r="B372" s="100">
        <v>0.26</v>
      </c>
    </row>
    <row r="373" spans="1:2" x14ac:dyDescent="0.3">
      <c r="A373" s="88">
        <v>371</v>
      </c>
      <c r="B373" s="100">
        <v>0.26</v>
      </c>
    </row>
    <row r="374" spans="1:2" x14ac:dyDescent="0.3">
      <c r="A374" s="88">
        <v>372</v>
      </c>
      <c r="B374" s="100">
        <v>0.26</v>
      </c>
    </row>
    <row r="375" spans="1:2" x14ac:dyDescent="0.3">
      <c r="A375" s="88">
        <v>373</v>
      </c>
      <c r="B375" s="100">
        <v>0.26</v>
      </c>
    </row>
    <row r="376" spans="1:2" x14ac:dyDescent="0.3">
      <c r="A376" s="88">
        <v>374</v>
      </c>
      <c r="B376" s="100">
        <v>0.26</v>
      </c>
    </row>
    <row r="377" spans="1:2" x14ac:dyDescent="0.3">
      <c r="A377" s="88">
        <v>375</v>
      </c>
      <c r="B377" s="100">
        <v>0.25</v>
      </c>
    </row>
    <row r="378" spans="1:2" x14ac:dyDescent="0.3">
      <c r="A378" s="88">
        <v>376</v>
      </c>
      <c r="B378" s="100">
        <v>0.25</v>
      </c>
    </row>
    <row r="379" spans="1:2" x14ac:dyDescent="0.3">
      <c r="A379" s="88">
        <v>377</v>
      </c>
      <c r="B379" s="100">
        <v>0.25</v>
      </c>
    </row>
    <row r="380" spans="1:2" x14ac:dyDescent="0.3">
      <c r="A380" s="88">
        <v>378</v>
      </c>
      <c r="B380" s="100">
        <v>0.25</v>
      </c>
    </row>
    <row r="381" spans="1:2" x14ac:dyDescent="0.3">
      <c r="A381" s="88">
        <v>379</v>
      </c>
      <c r="B381" s="100">
        <v>0.25</v>
      </c>
    </row>
    <row r="382" spans="1:2" x14ac:dyDescent="0.3">
      <c r="A382" s="88">
        <v>380</v>
      </c>
      <c r="B382" s="100">
        <v>0.24</v>
      </c>
    </row>
    <row r="383" spans="1:2" x14ac:dyDescent="0.3">
      <c r="A383" s="88">
        <v>381</v>
      </c>
      <c r="B383" s="100">
        <v>0.24</v>
      </c>
    </row>
    <row r="384" spans="1:2" x14ac:dyDescent="0.3">
      <c r="A384" s="88">
        <v>382</v>
      </c>
      <c r="B384" s="100">
        <v>0.24</v>
      </c>
    </row>
    <row r="385" spans="1:2" x14ac:dyDescent="0.3">
      <c r="A385" s="88">
        <v>383</v>
      </c>
      <c r="B385" s="100">
        <v>0.24</v>
      </c>
    </row>
    <row r="386" spans="1:2" x14ac:dyDescent="0.3">
      <c r="A386" s="88">
        <v>384</v>
      </c>
      <c r="B386" s="100">
        <v>0.24</v>
      </c>
    </row>
    <row r="387" spans="1:2" x14ac:dyDescent="0.3">
      <c r="A387" s="88">
        <v>385</v>
      </c>
      <c r="B387" s="100">
        <v>0.23</v>
      </c>
    </row>
    <row r="388" spans="1:2" x14ac:dyDescent="0.3">
      <c r="A388" s="88">
        <v>386</v>
      </c>
      <c r="B388" s="100">
        <v>0.23</v>
      </c>
    </row>
    <row r="389" spans="1:2" x14ac:dyDescent="0.3">
      <c r="A389" s="88">
        <v>387</v>
      </c>
      <c r="B389" s="100">
        <v>0.23</v>
      </c>
    </row>
    <row r="390" spans="1:2" x14ac:dyDescent="0.3">
      <c r="A390" s="88">
        <v>388</v>
      </c>
      <c r="B390" s="100">
        <v>0.23</v>
      </c>
    </row>
    <row r="391" spans="1:2" x14ac:dyDescent="0.3">
      <c r="A391" s="88">
        <v>389</v>
      </c>
      <c r="B391" s="100">
        <v>0.23</v>
      </c>
    </row>
    <row r="392" spans="1:2" x14ac:dyDescent="0.3">
      <c r="A392" s="88">
        <v>390</v>
      </c>
      <c r="B392" s="100">
        <v>0.22</v>
      </c>
    </row>
    <row r="393" spans="1:2" x14ac:dyDescent="0.3">
      <c r="A393" s="88">
        <v>391</v>
      </c>
      <c r="B393" s="100">
        <v>0.22</v>
      </c>
    </row>
    <row r="394" spans="1:2" x14ac:dyDescent="0.3">
      <c r="A394" s="88">
        <v>392</v>
      </c>
      <c r="B394" s="100">
        <v>0.22</v>
      </c>
    </row>
    <row r="395" spans="1:2" x14ac:dyDescent="0.3">
      <c r="A395" s="88">
        <v>393</v>
      </c>
      <c r="B395" s="100">
        <v>0.22</v>
      </c>
    </row>
    <row r="396" spans="1:2" x14ac:dyDescent="0.3">
      <c r="A396" s="88">
        <v>394</v>
      </c>
      <c r="B396" s="100">
        <v>0.22</v>
      </c>
    </row>
    <row r="397" spans="1:2" x14ac:dyDescent="0.3">
      <c r="A397" s="88">
        <v>395</v>
      </c>
      <c r="B397" s="100">
        <v>0.21</v>
      </c>
    </row>
    <row r="398" spans="1:2" x14ac:dyDescent="0.3">
      <c r="A398" s="88">
        <v>396</v>
      </c>
      <c r="B398" s="100">
        <v>0.21</v>
      </c>
    </row>
    <row r="399" spans="1:2" x14ac:dyDescent="0.3">
      <c r="A399" s="88">
        <v>397</v>
      </c>
      <c r="B399" s="100">
        <v>0.21</v>
      </c>
    </row>
    <row r="400" spans="1:2" x14ac:dyDescent="0.3">
      <c r="A400" s="88">
        <v>398</v>
      </c>
      <c r="B400" s="100">
        <v>0.21</v>
      </c>
    </row>
    <row r="401" spans="1:2" x14ac:dyDescent="0.3">
      <c r="A401" s="88">
        <v>399</v>
      </c>
      <c r="B401" s="100">
        <v>0.21</v>
      </c>
    </row>
    <row r="402" spans="1:2" x14ac:dyDescent="0.3">
      <c r="A402" s="88">
        <v>400</v>
      </c>
      <c r="B402" s="100">
        <v>0.2</v>
      </c>
    </row>
    <row r="403" spans="1:2" x14ac:dyDescent="0.3">
      <c r="A403" s="88">
        <v>401</v>
      </c>
      <c r="B403" s="100">
        <v>0.2</v>
      </c>
    </row>
    <row r="404" spans="1:2" x14ac:dyDescent="0.3">
      <c r="A404" s="88">
        <v>402</v>
      </c>
      <c r="B404" s="100">
        <v>0.2</v>
      </c>
    </row>
    <row r="405" spans="1:2" x14ac:dyDescent="0.3">
      <c r="A405" s="88">
        <v>403</v>
      </c>
      <c r="B405" s="100">
        <v>0.2</v>
      </c>
    </row>
    <row r="406" spans="1:2" x14ac:dyDescent="0.3">
      <c r="A406" s="88">
        <v>404</v>
      </c>
      <c r="B406" s="100">
        <v>0.2</v>
      </c>
    </row>
    <row r="407" spans="1:2" x14ac:dyDescent="0.3">
      <c r="A407" s="88">
        <v>405</v>
      </c>
      <c r="B407" s="100">
        <v>0.19</v>
      </c>
    </row>
    <row r="408" spans="1:2" x14ac:dyDescent="0.3">
      <c r="A408" s="88">
        <v>406</v>
      </c>
      <c r="B408" s="100">
        <v>0.19</v>
      </c>
    </row>
    <row r="409" spans="1:2" x14ac:dyDescent="0.3">
      <c r="A409" s="88">
        <v>407</v>
      </c>
      <c r="B409" s="100">
        <v>0.19</v>
      </c>
    </row>
    <row r="410" spans="1:2" x14ac:dyDescent="0.3">
      <c r="A410" s="88">
        <v>408</v>
      </c>
      <c r="B410" s="100">
        <v>0.19</v>
      </c>
    </row>
    <row r="411" spans="1:2" x14ac:dyDescent="0.3">
      <c r="A411" s="88">
        <v>409</v>
      </c>
      <c r="B411" s="100">
        <v>0.19</v>
      </c>
    </row>
    <row r="412" spans="1:2" x14ac:dyDescent="0.3">
      <c r="A412" s="88">
        <v>410</v>
      </c>
      <c r="B412" s="100">
        <v>0.18</v>
      </c>
    </row>
    <row r="413" spans="1:2" x14ac:dyDescent="0.3">
      <c r="A413" s="88">
        <v>411</v>
      </c>
      <c r="B413" s="100">
        <v>0.18</v>
      </c>
    </row>
    <row r="414" spans="1:2" x14ac:dyDescent="0.3">
      <c r="A414" s="88">
        <v>412</v>
      </c>
      <c r="B414" s="100">
        <v>0.18</v>
      </c>
    </row>
    <row r="415" spans="1:2" x14ac:dyDescent="0.3">
      <c r="A415" s="88">
        <v>413</v>
      </c>
      <c r="B415" s="100">
        <v>0.18</v>
      </c>
    </row>
    <row r="416" spans="1:2" x14ac:dyDescent="0.3">
      <c r="A416" s="88">
        <v>414</v>
      </c>
      <c r="B416" s="100">
        <v>0.18</v>
      </c>
    </row>
    <row r="417" spans="1:2" x14ac:dyDescent="0.3">
      <c r="A417" s="88">
        <v>415</v>
      </c>
      <c r="B417" s="100">
        <v>0.17</v>
      </c>
    </row>
    <row r="418" spans="1:2" x14ac:dyDescent="0.3">
      <c r="A418" s="88">
        <v>416</v>
      </c>
      <c r="B418" s="100">
        <v>0.17</v>
      </c>
    </row>
    <row r="419" spans="1:2" x14ac:dyDescent="0.3">
      <c r="A419" s="88">
        <v>417</v>
      </c>
      <c r="B419" s="100">
        <v>0.17</v>
      </c>
    </row>
    <row r="420" spans="1:2" x14ac:dyDescent="0.3">
      <c r="A420" s="88">
        <v>418</v>
      </c>
      <c r="B420" s="100">
        <v>0.17</v>
      </c>
    </row>
    <row r="421" spans="1:2" x14ac:dyDescent="0.3">
      <c r="A421" s="88">
        <v>419</v>
      </c>
      <c r="B421" s="100">
        <v>0.17</v>
      </c>
    </row>
    <row r="422" spans="1:2" x14ac:dyDescent="0.3">
      <c r="A422" s="88">
        <v>420</v>
      </c>
      <c r="B422" s="100">
        <v>0.16</v>
      </c>
    </row>
    <row r="423" spans="1:2" x14ac:dyDescent="0.3">
      <c r="A423" s="88">
        <v>421</v>
      </c>
      <c r="B423" s="100">
        <v>0.16</v>
      </c>
    </row>
    <row r="424" spans="1:2" x14ac:dyDescent="0.3">
      <c r="A424" s="88">
        <v>422</v>
      </c>
      <c r="B424" s="100">
        <v>0.16</v>
      </c>
    </row>
    <row r="425" spans="1:2" x14ac:dyDescent="0.3">
      <c r="A425" s="88">
        <v>423</v>
      </c>
      <c r="B425" s="100">
        <v>0.16</v>
      </c>
    </row>
    <row r="426" spans="1:2" x14ac:dyDescent="0.3">
      <c r="A426" s="88">
        <v>424</v>
      </c>
      <c r="B426" s="100">
        <v>0.16</v>
      </c>
    </row>
    <row r="427" spans="1:2" x14ac:dyDescent="0.3">
      <c r="A427" s="88">
        <v>425</v>
      </c>
      <c r="B427" s="100">
        <v>0.15</v>
      </c>
    </row>
    <row r="428" spans="1:2" x14ac:dyDescent="0.3">
      <c r="A428" s="88">
        <v>426</v>
      </c>
      <c r="B428" s="100">
        <v>0.15</v>
      </c>
    </row>
    <row r="429" spans="1:2" x14ac:dyDescent="0.3">
      <c r="A429" s="88">
        <v>427</v>
      </c>
      <c r="B429" s="100">
        <v>0.15</v>
      </c>
    </row>
    <row r="430" spans="1:2" x14ac:dyDescent="0.3">
      <c r="A430" s="88">
        <v>428</v>
      </c>
      <c r="B430" s="100">
        <v>0.15</v>
      </c>
    </row>
    <row r="431" spans="1:2" x14ac:dyDescent="0.3">
      <c r="A431" s="88">
        <v>429</v>
      </c>
      <c r="B431" s="100">
        <v>0.15</v>
      </c>
    </row>
    <row r="432" spans="1:2" x14ac:dyDescent="0.3">
      <c r="A432" s="88">
        <v>430</v>
      </c>
      <c r="B432" s="100">
        <v>0.14000000000000001</v>
      </c>
    </row>
    <row r="433" spans="1:2" x14ac:dyDescent="0.3">
      <c r="A433" s="88">
        <v>431</v>
      </c>
      <c r="B433" s="100">
        <v>0.14000000000000001</v>
      </c>
    </row>
    <row r="434" spans="1:2" x14ac:dyDescent="0.3">
      <c r="A434" s="88">
        <v>432</v>
      </c>
      <c r="B434" s="100">
        <v>0.14000000000000001</v>
      </c>
    </row>
    <row r="435" spans="1:2" x14ac:dyDescent="0.3">
      <c r="A435" s="88">
        <v>433</v>
      </c>
      <c r="B435" s="100">
        <v>0.14000000000000001</v>
      </c>
    </row>
    <row r="436" spans="1:2" x14ac:dyDescent="0.3">
      <c r="A436" s="88">
        <v>434</v>
      </c>
      <c r="B436" s="100">
        <v>0.14000000000000001</v>
      </c>
    </row>
    <row r="437" spans="1:2" x14ac:dyDescent="0.3">
      <c r="A437" s="88">
        <v>435</v>
      </c>
      <c r="B437" s="100">
        <v>0.13</v>
      </c>
    </row>
    <row r="438" spans="1:2" x14ac:dyDescent="0.3">
      <c r="A438" s="88">
        <v>436</v>
      </c>
      <c r="B438" s="100">
        <v>0.13</v>
      </c>
    </row>
    <row r="439" spans="1:2" x14ac:dyDescent="0.3">
      <c r="A439" s="88">
        <v>437</v>
      </c>
      <c r="B439" s="100">
        <v>0.13</v>
      </c>
    </row>
    <row r="440" spans="1:2" x14ac:dyDescent="0.3">
      <c r="A440" s="88">
        <v>438</v>
      </c>
      <c r="B440" s="100">
        <v>0.13</v>
      </c>
    </row>
    <row r="441" spans="1:2" x14ac:dyDescent="0.3">
      <c r="A441" s="88">
        <v>439</v>
      </c>
      <c r="B441" s="100">
        <v>0.13</v>
      </c>
    </row>
    <row r="442" spans="1:2" x14ac:dyDescent="0.3">
      <c r="A442" s="88">
        <v>440</v>
      </c>
      <c r="B442" s="100">
        <v>0.12</v>
      </c>
    </row>
    <row r="443" spans="1:2" x14ac:dyDescent="0.3">
      <c r="A443" s="88">
        <v>441</v>
      </c>
      <c r="B443" s="100">
        <v>0.12</v>
      </c>
    </row>
    <row r="444" spans="1:2" x14ac:dyDescent="0.3">
      <c r="A444" s="88">
        <v>442</v>
      </c>
      <c r="B444" s="100">
        <v>0.12</v>
      </c>
    </row>
    <row r="445" spans="1:2" x14ac:dyDescent="0.3">
      <c r="A445" s="88">
        <v>443</v>
      </c>
      <c r="B445" s="100">
        <v>0.12</v>
      </c>
    </row>
    <row r="446" spans="1:2" x14ac:dyDescent="0.3">
      <c r="A446" s="88">
        <v>444</v>
      </c>
      <c r="B446" s="100">
        <v>0.12</v>
      </c>
    </row>
    <row r="447" spans="1:2" x14ac:dyDescent="0.3">
      <c r="A447" s="88">
        <v>445</v>
      </c>
      <c r="B447" s="100">
        <v>0.11</v>
      </c>
    </row>
    <row r="448" spans="1:2" x14ac:dyDescent="0.3">
      <c r="A448" s="88">
        <v>446</v>
      </c>
      <c r="B448" s="100">
        <v>0.11</v>
      </c>
    </row>
    <row r="449" spans="1:2" x14ac:dyDescent="0.3">
      <c r="A449" s="88">
        <v>447</v>
      </c>
      <c r="B449" s="100">
        <v>0.11</v>
      </c>
    </row>
    <row r="450" spans="1:2" x14ac:dyDescent="0.3">
      <c r="A450" s="88">
        <v>448</v>
      </c>
      <c r="B450" s="100">
        <v>0.11</v>
      </c>
    </row>
    <row r="451" spans="1:2" x14ac:dyDescent="0.3">
      <c r="A451" s="88">
        <v>449</v>
      </c>
      <c r="B451" s="100">
        <v>0.11</v>
      </c>
    </row>
    <row r="452" spans="1:2" x14ac:dyDescent="0.3">
      <c r="A452" s="88">
        <v>450</v>
      </c>
      <c r="B452" s="100">
        <v>0.1</v>
      </c>
    </row>
    <row r="453" spans="1:2" x14ac:dyDescent="0.3">
      <c r="A453" s="88">
        <v>451</v>
      </c>
      <c r="B453" s="100">
        <v>0.1</v>
      </c>
    </row>
    <row r="454" spans="1:2" x14ac:dyDescent="0.3">
      <c r="A454" s="88">
        <v>452</v>
      </c>
      <c r="B454" s="100">
        <v>0.1</v>
      </c>
    </row>
    <row r="455" spans="1:2" x14ac:dyDescent="0.3">
      <c r="A455" s="88">
        <v>453</v>
      </c>
      <c r="B455" s="100">
        <v>0.1</v>
      </c>
    </row>
    <row r="456" spans="1:2" x14ac:dyDescent="0.3">
      <c r="A456" s="88">
        <v>454</v>
      </c>
      <c r="B456" s="100">
        <v>0.1</v>
      </c>
    </row>
    <row r="457" spans="1:2" x14ac:dyDescent="0.3">
      <c r="A457" s="88">
        <v>455</v>
      </c>
      <c r="B457" s="100">
        <v>0.09</v>
      </c>
    </row>
    <row r="458" spans="1:2" x14ac:dyDescent="0.3">
      <c r="A458" s="88">
        <v>456</v>
      </c>
      <c r="B458" s="100">
        <v>0.09</v>
      </c>
    </row>
    <row r="459" spans="1:2" x14ac:dyDescent="0.3">
      <c r="A459" s="88">
        <v>457</v>
      </c>
      <c r="B459" s="100">
        <v>0.09</v>
      </c>
    </row>
    <row r="460" spans="1:2" x14ac:dyDescent="0.3">
      <c r="A460" s="88">
        <v>458</v>
      </c>
      <c r="B460" s="100">
        <v>0.09</v>
      </c>
    </row>
    <row r="461" spans="1:2" x14ac:dyDescent="0.3">
      <c r="A461" s="88">
        <v>459</v>
      </c>
      <c r="B461" s="100">
        <v>0.09</v>
      </c>
    </row>
    <row r="462" spans="1:2" x14ac:dyDescent="0.3">
      <c r="A462" s="88">
        <v>460</v>
      </c>
      <c r="B462" s="100">
        <v>0.08</v>
      </c>
    </row>
    <row r="463" spans="1:2" x14ac:dyDescent="0.3">
      <c r="A463" s="88">
        <v>461</v>
      </c>
      <c r="B463" s="100">
        <v>0.08</v>
      </c>
    </row>
    <row r="464" spans="1:2" x14ac:dyDescent="0.3">
      <c r="A464" s="88">
        <v>462</v>
      </c>
      <c r="B464" s="100">
        <v>0.08</v>
      </c>
    </row>
    <row r="465" spans="1:2" x14ac:dyDescent="0.3">
      <c r="A465" s="88">
        <v>463</v>
      </c>
      <c r="B465" s="100">
        <v>0.08</v>
      </c>
    </row>
    <row r="466" spans="1:2" x14ac:dyDescent="0.3">
      <c r="A466" s="88">
        <v>464</v>
      </c>
      <c r="B466" s="100">
        <v>0.08</v>
      </c>
    </row>
    <row r="467" spans="1:2" x14ac:dyDescent="0.3">
      <c r="A467" s="88">
        <v>465</v>
      </c>
      <c r="B467" s="100">
        <v>7.0000000000000007E-2</v>
      </c>
    </row>
    <row r="468" spans="1:2" x14ac:dyDescent="0.3">
      <c r="A468" s="88">
        <v>466</v>
      </c>
      <c r="B468" s="100">
        <v>7.0000000000000007E-2</v>
      </c>
    </row>
    <row r="469" spans="1:2" x14ac:dyDescent="0.3">
      <c r="A469" s="88">
        <v>467</v>
      </c>
      <c r="B469" s="100">
        <v>7.0000000000000007E-2</v>
      </c>
    </row>
    <row r="470" spans="1:2" x14ac:dyDescent="0.3">
      <c r="A470" s="88">
        <v>468</v>
      </c>
      <c r="B470" s="100">
        <v>7.0000000000000007E-2</v>
      </c>
    </row>
    <row r="471" spans="1:2" x14ac:dyDescent="0.3">
      <c r="A471" s="88">
        <v>469</v>
      </c>
      <c r="B471" s="100">
        <v>7.0000000000000007E-2</v>
      </c>
    </row>
    <row r="472" spans="1:2" x14ac:dyDescent="0.3">
      <c r="A472" s="88">
        <v>470</v>
      </c>
      <c r="B472" s="100">
        <v>0.06</v>
      </c>
    </row>
    <row r="473" spans="1:2" x14ac:dyDescent="0.3">
      <c r="A473" s="88">
        <v>471</v>
      </c>
      <c r="B473" s="100">
        <v>0.06</v>
      </c>
    </row>
    <row r="474" spans="1:2" x14ac:dyDescent="0.3">
      <c r="A474" s="88">
        <v>472</v>
      </c>
      <c r="B474" s="100">
        <v>0.06</v>
      </c>
    </row>
    <row r="475" spans="1:2" x14ac:dyDescent="0.3">
      <c r="A475" s="88">
        <v>473</v>
      </c>
      <c r="B475" s="100">
        <v>0.06</v>
      </c>
    </row>
    <row r="476" spans="1:2" x14ac:dyDescent="0.3">
      <c r="A476" s="88">
        <v>474</v>
      </c>
      <c r="B476" s="100">
        <v>0.06</v>
      </c>
    </row>
    <row r="477" spans="1:2" x14ac:dyDescent="0.3">
      <c r="A477" s="88">
        <v>475</v>
      </c>
      <c r="B477" s="100">
        <v>0.05</v>
      </c>
    </row>
    <row r="478" spans="1:2" x14ac:dyDescent="0.3">
      <c r="A478" s="88">
        <v>476</v>
      </c>
      <c r="B478" s="100">
        <v>0.05</v>
      </c>
    </row>
    <row r="479" spans="1:2" x14ac:dyDescent="0.3">
      <c r="A479" s="88">
        <v>477</v>
      </c>
      <c r="B479" s="100">
        <v>0.05</v>
      </c>
    </row>
    <row r="480" spans="1:2" x14ac:dyDescent="0.3">
      <c r="A480" s="88">
        <v>478</v>
      </c>
      <c r="B480" s="100">
        <v>0.05</v>
      </c>
    </row>
    <row r="481" spans="1:2" x14ac:dyDescent="0.3">
      <c r="A481" s="88">
        <v>479</v>
      </c>
      <c r="B481" s="100">
        <v>0.05</v>
      </c>
    </row>
    <row r="482" spans="1:2" x14ac:dyDescent="0.3">
      <c r="A482" s="88">
        <v>480</v>
      </c>
      <c r="B482" s="100">
        <v>0.04</v>
      </c>
    </row>
    <row r="483" spans="1:2" x14ac:dyDescent="0.3">
      <c r="A483" s="88">
        <v>481</v>
      </c>
      <c r="B483" s="100">
        <v>0.04</v>
      </c>
    </row>
    <row r="484" spans="1:2" x14ac:dyDescent="0.3">
      <c r="A484" s="88">
        <v>482</v>
      </c>
      <c r="B484" s="100">
        <v>0.04</v>
      </c>
    </row>
    <row r="485" spans="1:2" x14ac:dyDescent="0.3">
      <c r="A485" s="88">
        <v>483</v>
      </c>
      <c r="B485" s="100">
        <v>0.04</v>
      </c>
    </row>
    <row r="486" spans="1:2" x14ac:dyDescent="0.3">
      <c r="A486" s="88">
        <v>484</v>
      </c>
      <c r="B486" s="100">
        <v>0.04</v>
      </c>
    </row>
    <row r="487" spans="1:2" x14ac:dyDescent="0.3">
      <c r="A487" s="88">
        <v>485</v>
      </c>
      <c r="B487" s="100">
        <v>0.03</v>
      </c>
    </row>
    <row r="488" spans="1:2" x14ac:dyDescent="0.3">
      <c r="A488" s="88">
        <v>486</v>
      </c>
      <c r="B488" s="100">
        <v>0.03</v>
      </c>
    </row>
    <row r="489" spans="1:2" x14ac:dyDescent="0.3">
      <c r="A489" s="88">
        <v>487</v>
      </c>
      <c r="B489" s="100">
        <v>0.03</v>
      </c>
    </row>
    <row r="490" spans="1:2" x14ac:dyDescent="0.3">
      <c r="A490" s="88">
        <v>488</v>
      </c>
      <c r="B490" s="100">
        <v>0.03</v>
      </c>
    </row>
    <row r="491" spans="1:2" x14ac:dyDescent="0.3">
      <c r="A491" s="88">
        <v>489</v>
      </c>
      <c r="B491" s="100">
        <v>0.03</v>
      </c>
    </row>
    <row r="492" spans="1:2" x14ac:dyDescent="0.3">
      <c r="A492" s="88">
        <v>490</v>
      </c>
      <c r="B492" s="100">
        <v>0.02</v>
      </c>
    </row>
    <row r="493" spans="1:2" x14ac:dyDescent="0.3">
      <c r="A493" s="88">
        <v>491</v>
      </c>
      <c r="B493" s="100">
        <v>0.02</v>
      </c>
    </row>
    <row r="494" spans="1:2" x14ac:dyDescent="0.3">
      <c r="A494" s="88">
        <v>492</v>
      </c>
      <c r="B494" s="100">
        <v>0.02</v>
      </c>
    </row>
    <row r="495" spans="1:2" x14ac:dyDescent="0.3">
      <c r="A495" s="88">
        <v>493</v>
      </c>
      <c r="B495" s="100">
        <v>0.02</v>
      </c>
    </row>
    <row r="496" spans="1:2" x14ac:dyDescent="0.3">
      <c r="A496" s="88">
        <v>494</v>
      </c>
      <c r="B496" s="100">
        <v>0.02</v>
      </c>
    </row>
    <row r="497" spans="1:2" x14ac:dyDescent="0.3">
      <c r="A497" s="88">
        <v>495</v>
      </c>
      <c r="B497" s="100">
        <v>0.01</v>
      </c>
    </row>
    <row r="498" spans="1:2" x14ac:dyDescent="0.3">
      <c r="A498" s="88">
        <v>496</v>
      </c>
      <c r="B498" s="100">
        <v>0.01</v>
      </c>
    </row>
    <row r="499" spans="1:2" x14ac:dyDescent="0.3">
      <c r="A499" s="88">
        <v>497</v>
      </c>
      <c r="B499" s="100">
        <v>0.01</v>
      </c>
    </row>
    <row r="500" spans="1:2" x14ac:dyDescent="0.3">
      <c r="A500" s="88">
        <v>498</v>
      </c>
      <c r="B500" s="100">
        <v>0.01</v>
      </c>
    </row>
    <row r="501" spans="1:2" x14ac:dyDescent="0.3">
      <c r="A501" s="88">
        <v>499</v>
      </c>
      <c r="B501" s="100">
        <v>0.01</v>
      </c>
    </row>
    <row r="502" spans="1:2" x14ac:dyDescent="0.3">
      <c r="A502" s="88">
        <v>500</v>
      </c>
      <c r="B502" s="100">
        <v>0</v>
      </c>
    </row>
  </sheetData>
  <sheetProtection sheet="1" objects="1" scenarios="1"/>
  <mergeCells count="2">
    <mergeCell ref="D2:D5"/>
    <mergeCell ref="E2:E5"/>
  </mergeCells>
  <phoneticPr fontId="0" type="noConversion"/>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topLeftCell="B1" zoomScale="90" workbookViewId="0">
      <selection activeCell="F2" sqref="F2"/>
    </sheetView>
  </sheetViews>
  <sheetFormatPr defaultColWidth="9.1796875" defaultRowHeight="13" x14ac:dyDescent="0.3"/>
  <cols>
    <col min="1" max="2" width="17.453125" style="1" customWidth="1"/>
    <col min="3" max="3" width="19.81640625" style="1" customWidth="1"/>
    <col min="4" max="5" width="20.453125" style="1" customWidth="1"/>
    <col min="6" max="6" width="4.81640625" style="1" customWidth="1"/>
    <col min="7" max="7" width="12.26953125" style="1" customWidth="1"/>
    <col min="8" max="8" width="11" style="1" customWidth="1"/>
    <col min="9" max="16384" width="9.1796875" style="1"/>
  </cols>
  <sheetData>
    <row r="1" spans="1:12" ht="12" customHeight="1" x14ac:dyDescent="0.3">
      <c r="A1" s="188"/>
      <c r="B1" s="188"/>
      <c r="C1" s="188"/>
      <c r="D1" s="188"/>
      <c r="E1" s="188"/>
      <c r="F1" s="188"/>
      <c r="G1" s="188"/>
      <c r="H1" s="188"/>
      <c r="I1" s="188"/>
      <c r="J1" s="188"/>
    </row>
    <row r="2" spans="1:12" ht="36.75" customHeight="1" x14ac:dyDescent="0.3">
      <c r="A2" s="205" t="s">
        <v>214</v>
      </c>
      <c r="B2" s="205"/>
      <c r="C2" s="205"/>
      <c r="D2" s="205"/>
      <c r="E2" s="205"/>
      <c r="F2" s="46"/>
      <c r="G2" s="46"/>
      <c r="H2" s="46"/>
      <c r="I2" s="46"/>
      <c r="J2" s="46"/>
      <c r="K2" s="58"/>
      <c r="L2" s="58"/>
    </row>
    <row r="3" spans="1:12" ht="24.75" customHeight="1" x14ac:dyDescent="0.3">
      <c r="A3" s="15"/>
      <c r="B3" s="15" t="s">
        <v>213</v>
      </c>
      <c r="C3" s="324" t="s">
        <v>220</v>
      </c>
      <c r="D3" s="324"/>
      <c r="E3" s="324"/>
      <c r="F3" s="2"/>
      <c r="G3" s="2"/>
      <c r="H3" s="2"/>
      <c r="I3" s="2"/>
      <c r="J3" s="2"/>
      <c r="K3" s="2"/>
      <c r="L3" s="2"/>
    </row>
    <row r="4" spans="1:12" ht="34.5" customHeight="1" x14ac:dyDescent="0.3">
      <c r="A4" s="55"/>
      <c r="B4" s="55"/>
      <c r="C4" s="69" t="s">
        <v>221</v>
      </c>
      <c r="D4" s="69" t="s">
        <v>160</v>
      </c>
      <c r="E4" s="69" t="s">
        <v>161</v>
      </c>
      <c r="F4" s="58"/>
      <c r="G4" s="58"/>
      <c r="H4" s="58"/>
      <c r="I4" s="58"/>
      <c r="J4" s="58"/>
    </row>
    <row r="5" spans="1:12" ht="53.25" customHeight="1" x14ac:dyDescent="0.3">
      <c r="A5" s="55"/>
      <c r="B5" s="55"/>
      <c r="C5" s="69" t="s">
        <v>162</v>
      </c>
      <c r="D5" s="69" t="s">
        <v>163</v>
      </c>
      <c r="E5" s="69" t="s">
        <v>164</v>
      </c>
      <c r="F5" s="58"/>
      <c r="G5" s="58"/>
      <c r="H5" s="58"/>
      <c r="I5" s="58"/>
      <c r="J5" s="58"/>
    </row>
    <row r="6" spans="1:12" x14ac:dyDescent="0.3">
      <c r="A6" s="6" t="s">
        <v>165</v>
      </c>
      <c r="B6" s="6" t="s">
        <v>166</v>
      </c>
      <c r="C6" s="6" t="s">
        <v>166</v>
      </c>
      <c r="D6" s="6" t="s">
        <v>166</v>
      </c>
      <c r="E6" s="6" t="s">
        <v>166</v>
      </c>
    </row>
    <row r="7" spans="1:12" x14ac:dyDescent="0.3">
      <c r="A7" s="62">
        <v>18264</v>
      </c>
      <c r="B7" s="63">
        <v>347.51</v>
      </c>
      <c r="C7" s="81">
        <v>117.47</v>
      </c>
      <c r="D7" s="57">
        <v>137.05000000000001</v>
      </c>
      <c r="E7" s="57">
        <v>347.51</v>
      </c>
      <c r="G7" s="6" t="s">
        <v>167</v>
      </c>
      <c r="H7" s="62" t="str">
        <f>IF(Vision!J3="","",Vision!J3)</f>
        <v/>
      </c>
    </row>
    <row r="8" spans="1:12" x14ac:dyDescent="0.3">
      <c r="A8" s="62">
        <v>33604</v>
      </c>
      <c r="B8" s="63">
        <v>305.08999999999997</v>
      </c>
      <c r="C8" s="81">
        <v>103.13</v>
      </c>
      <c r="D8" s="57">
        <v>120.32</v>
      </c>
      <c r="E8" s="57">
        <v>305.08999999999997</v>
      </c>
      <c r="G8" s="6" t="s">
        <v>172</v>
      </c>
      <c r="H8" s="57" t="e">
        <f>IF(H7&lt;1/1/50,0,VLOOKUP(H7,A7:E16,3))</f>
        <v>#N/A</v>
      </c>
    </row>
    <row r="9" spans="1:12" x14ac:dyDescent="0.3">
      <c r="A9" s="62">
        <v>33786</v>
      </c>
      <c r="B9" s="63">
        <v>315.63</v>
      </c>
      <c r="C9" s="81">
        <v>106.69</v>
      </c>
      <c r="D9" s="57">
        <v>124.47</v>
      </c>
      <c r="E9" s="57">
        <v>315.63</v>
      </c>
      <c r="G9" s="6" t="s">
        <v>173</v>
      </c>
      <c r="H9" s="57" t="e">
        <f>IF(H7&lt;1/1/50,0,VLOOKUP(H7,A7:E16,4))</f>
        <v>#N/A</v>
      </c>
    </row>
    <row r="10" spans="1:12" x14ac:dyDescent="0.3">
      <c r="A10" s="62">
        <v>34151</v>
      </c>
      <c r="B10" s="63">
        <v>331.41</v>
      </c>
      <c r="C10" s="81">
        <v>112.03</v>
      </c>
      <c r="D10" s="57">
        <v>130.69999999999999</v>
      </c>
      <c r="E10" s="57">
        <v>331.41</v>
      </c>
      <c r="G10" s="6" t="s">
        <v>174</v>
      </c>
      <c r="H10" s="57" t="e">
        <f>IF(H7&lt;1/1/50,0,VLOOKUP(H7,A7:E16,5))</f>
        <v>#N/A</v>
      </c>
    </row>
    <row r="11" spans="1:12" x14ac:dyDescent="0.3">
      <c r="A11" s="62">
        <v>34516</v>
      </c>
      <c r="B11" s="63">
        <v>347.51</v>
      </c>
      <c r="C11" s="81">
        <v>117.47</v>
      </c>
      <c r="D11" s="57">
        <v>137.05000000000001</v>
      </c>
      <c r="E11" s="57">
        <v>347.51</v>
      </c>
      <c r="G11" s="6" t="s">
        <v>213</v>
      </c>
      <c r="H11" s="57" t="e">
        <f>IF(H7&lt;1/1/50,0,VLOOKUP(H7,A7:E16,2))</f>
        <v>#N/A</v>
      </c>
    </row>
    <row r="12" spans="1:12" x14ac:dyDescent="0.3">
      <c r="A12" s="62">
        <v>34881</v>
      </c>
      <c r="B12" s="63">
        <v>351.05</v>
      </c>
      <c r="C12" s="81">
        <v>118.67</v>
      </c>
      <c r="D12" s="57">
        <v>138.44</v>
      </c>
      <c r="E12" s="57">
        <v>351.05</v>
      </c>
      <c r="G12" s="14"/>
      <c r="H12" s="14"/>
      <c r="I12" s="14"/>
      <c r="J12" s="14"/>
    </row>
    <row r="13" spans="1:12" x14ac:dyDescent="0.3">
      <c r="A13" s="62">
        <v>35065</v>
      </c>
      <c r="B13" s="63">
        <v>420</v>
      </c>
      <c r="C13" s="81">
        <v>130</v>
      </c>
      <c r="D13" s="57">
        <v>230</v>
      </c>
      <c r="E13" s="57">
        <v>625</v>
      </c>
      <c r="G13" s="14"/>
      <c r="H13" s="14"/>
      <c r="I13" s="14"/>
      <c r="J13" s="14"/>
    </row>
    <row r="14" spans="1:12" x14ac:dyDescent="0.3">
      <c r="A14" s="62">
        <v>35796</v>
      </c>
      <c r="B14" s="63">
        <v>454</v>
      </c>
      <c r="C14" s="81">
        <v>137.80000000000001</v>
      </c>
      <c r="D14" s="57">
        <v>243.8</v>
      </c>
      <c r="E14" s="57">
        <v>662.5</v>
      </c>
      <c r="G14" s="14"/>
      <c r="H14" s="14"/>
      <c r="I14" s="14"/>
      <c r="J14" s="14"/>
    </row>
    <row r="15" spans="1:12" x14ac:dyDescent="0.3">
      <c r="A15" s="62">
        <v>36526</v>
      </c>
      <c r="B15" s="63">
        <v>511.29</v>
      </c>
      <c r="C15" s="81">
        <v>153</v>
      </c>
      <c r="D15" s="57">
        <v>267.44</v>
      </c>
      <c r="E15" s="57">
        <v>709.79</v>
      </c>
      <c r="G15" s="14"/>
      <c r="H15" s="14"/>
      <c r="I15" s="14"/>
      <c r="J15" s="14"/>
    </row>
    <row r="16" spans="1:12" x14ac:dyDescent="0.3">
      <c r="A16" s="62">
        <v>37257</v>
      </c>
      <c r="B16" s="63">
        <v>559</v>
      </c>
      <c r="C16" s="81">
        <v>184</v>
      </c>
      <c r="D16" s="57">
        <v>321</v>
      </c>
      <c r="E16" s="57">
        <v>748</v>
      </c>
      <c r="G16" s="14"/>
      <c r="H16" s="14"/>
      <c r="I16" s="14"/>
      <c r="J16" s="14"/>
    </row>
    <row r="17" spans="1:5" x14ac:dyDescent="0.3">
      <c r="A17" s="82"/>
      <c r="B17" s="82"/>
      <c r="C17" s="13"/>
      <c r="D17" s="6"/>
      <c r="E17" s="6"/>
    </row>
    <row r="18" spans="1:5" x14ac:dyDescent="0.3">
      <c r="A18" s="13"/>
      <c r="B18" s="13"/>
      <c r="C18" s="13"/>
      <c r="D18" s="6"/>
      <c r="E18" s="6"/>
    </row>
    <row r="19" spans="1:5" x14ac:dyDescent="0.3">
      <c r="A19" s="13"/>
      <c r="B19" s="13"/>
      <c r="C19" s="13"/>
      <c r="D19" s="6"/>
      <c r="E19" s="6"/>
    </row>
    <row r="20" spans="1:5" x14ac:dyDescent="0.3">
      <c r="A20" s="13"/>
      <c r="B20" s="13"/>
      <c r="C20" s="13"/>
      <c r="D20" s="6"/>
      <c r="E20" s="6"/>
    </row>
    <row r="21" spans="1:5" x14ac:dyDescent="0.3">
      <c r="A21" s="13"/>
      <c r="B21" s="13"/>
      <c r="C21" s="13"/>
      <c r="D21" s="6"/>
      <c r="E21" s="6"/>
    </row>
    <row r="22" spans="1:5" x14ac:dyDescent="0.3">
      <c r="A22" s="13"/>
      <c r="B22" s="13"/>
      <c r="C22" s="13"/>
      <c r="D22" s="6"/>
      <c r="E22" s="6"/>
    </row>
    <row r="23" spans="1:5" x14ac:dyDescent="0.3">
      <c r="A23" s="13"/>
      <c r="B23" s="13"/>
      <c r="C23" s="13"/>
      <c r="D23" s="6"/>
      <c r="E23" s="6"/>
    </row>
    <row r="24" spans="1:5" x14ac:dyDescent="0.3">
      <c r="A24" s="13"/>
      <c r="B24" s="13"/>
      <c r="C24" s="13"/>
      <c r="D24" s="6"/>
      <c r="E24" s="6"/>
    </row>
  </sheetData>
  <sheetProtection sheet="1" objects="1" scenarios="1"/>
  <mergeCells count="3">
    <mergeCell ref="A1:J1"/>
    <mergeCell ref="C3:E3"/>
    <mergeCell ref="A2:E2"/>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55DDEB3551B64C8ABBB0E04F497D9C" ma:contentTypeVersion="10" ma:contentTypeDescription="Create a new document." ma:contentTypeScope="" ma:versionID="37cd0a0acb7768dd2a8a632a14672511">
  <xsd:schema xmlns:xsd="http://www.w3.org/2001/XMLSchema" xmlns:xs="http://www.w3.org/2001/XMLSchema" xmlns:p="http://schemas.microsoft.com/office/2006/metadata/properties" xmlns:ns1="http://schemas.microsoft.com/sharepoint/v3" xmlns:ns2="55499968-6880-4d8c-adb5-ca0fe4a50954" targetNamespace="http://schemas.microsoft.com/office/2006/metadata/properties" ma:root="true" ma:fieldsID="d72487b905f78565dedabc7545e6f8cd" ns1:_="" ns2:_="">
    <xsd:import namespace="http://schemas.microsoft.com/sharepoint/v3"/>
    <xsd:import namespace="55499968-6880-4d8c-adb5-ca0fe4a5095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499968-6880-4d8c-adb5-ca0fe4a50954"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92D30C4-3869-43A4-B232-7F73CBD3907B}"/>
</file>

<file path=customXml/itemProps2.xml><?xml version="1.0" encoding="utf-8"?>
<ds:datastoreItem xmlns:ds="http://schemas.openxmlformats.org/officeDocument/2006/customXml" ds:itemID="{C41B2E53-176A-4D51-956D-87D6B71FA283}">
  <ds:schemaRefs>
    <ds:schemaRef ds:uri="http://schemas.microsoft.com/sharepoint/v3/contenttype/forms"/>
  </ds:schemaRefs>
</ds:datastoreItem>
</file>

<file path=customXml/itemProps3.xml><?xml version="1.0" encoding="utf-8"?>
<ds:datastoreItem xmlns:ds="http://schemas.openxmlformats.org/officeDocument/2006/customXml" ds:itemID="{83698BA5-46D9-481A-9411-8F09CE1221B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55499968-6880-4d8c-adb5-ca0fe4a50954"/>
    <ds:schemaRef ds:uri="http://schemas.openxmlformats.org/package/2006/metadata/core-properties"/>
    <ds:schemaRef ds:uri="http://schemas.microsoft.com/sharepoint/v3"/>
    <ds:schemaRef ds:uri="http://www.w3.org/XML/1998/namespace"/>
  </ds:schemaRefs>
</ds:datastoreItem>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Vision</vt:lpstr>
      <vt:lpstr>SAWW</vt:lpstr>
      <vt:lpstr>Eye-Table</vt:lpstr>
      <vt:lpstr>Dol Per Deg</vt:lpstr>
      <vt:lpstr>'Dol Per Deg'!DOI_Rate</vt:lpstr>
    </vt:vector>
  </TitlesOfParts>
  <Manager>Jim Van Ness</Manager>
  <Company>Oregon Workers' Compensation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PPD Calculator - Closure on or after 1/1/2005</dc:title>
  <dc:subject>Permanent partial disability - Vision</dc:subject>
  <dc:creator>Fred Bruyns</dc:creator>
  <cp:keywords>disability PPD calculator rate impairment vision visual eyes</cp:keywords>
  <dc:description>Questions or comments? Contact Fred Bruyns, 503-947-7717, E-mail fred.h.bruyns@state.or.us</dc:description>
  <cp:lastModifiedBy>Giest Jennifer M.</cp:lastModifiedBy>
  <cp:lastPrinted>2022-12-05T17:29:51Z</cp:lastPrinted>
  <dcterms:created xsi:type="dcterms:W3CDTF">2003-02-18T05:29:48Z</dcterms:created>
  <dcterms:modified xsi:type="dcterms:W3CDTF">2025-06-25T17:22:35Z</dcterms:modified>
  <cp:category>Calculator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0x0101000155DDEB3551B64C8ABBB0E04F497D9C</vt:lpwstr>
  </property>
  <property fmtid="{D5CDD505-2E9C-101B-9397-08002B2CF9AE}" pid="3" name="MSIP_Label_db79d039-fcd0-4045-9c78-4cfb2eba0904_Enabled">
    <vt:lpwstr>true</vt:lpwstr>
  </property>
  <property fmtid="{D5CDD505-2E9C-101B-9397-08002B2CF9AE}" pid="4" name="MSIP_Label_db79d039-fcd0-4045-9c78-4cfb2eba0904_SetDate">
    <vt:lpwstr>2024-06-18T17:00:26Z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4824db9c-3b31-456a-a828-54942da70f0a</vt:lpwstr>
  </property>
  <property fmtid="{D5CDD505-2E9C-101B-9397-08002B2CF9AE}" pid="9" name="MSIP_Label_db79d039-fcd0-4045-9c78-4cfb2eba0904_ContentBits">
    <vt:lpwstr>0</vt:lpwstr>
  </property>
</Properties>
</file>