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DFE03FAF-4DEB-48D7-BA57-52FF3DC89935}" xr6:coauthVersionLast="47" xr6:coauthVersionMax="47" xr10:uidLastSave="{00000000-0000-0000-0000-000000000000}"/>
  <bookViews>
    <workbookView xWindow="-110" yWindow="-110" windowWidth="19420" windowHeight="10300"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46" l="1"/>
  <c r="U21" i="46" s="1"/>
  <c r="T20" i="46"/>
  <c r="U20" i="46" s="1"/>
  <c r="T19" i="46"/>
  <c r="U19" i="46" s="1"/>
  <c r="T18" i="46"/>
  <c r="U18" i="46" s="1"/>
  <c r="O14" i="46" l="1"/>
  <c r="H1" i="63"/>
  <c r="E1" i="63"/>
  <c r="E1" i="24"/>
  <c r="W1" i="39" l="1"/>
  <c r="U1" i="39"/>
  <c r="Y1" i="39" l="1"/>
  <c r="W1" i="60"/>
  <c r="U1" i="60"/>
  <c r="Y1" i="60" l="1"/>
  <c r="F2" i="47"/>
  <c r="H110" i="37" l="1"/>
  <c r="H67" i="37"/>
  <c r="H66" i="37"/>
  <c r="H65" i="37"/>
  <c r="H64" i="37"/>
  <c r="H63" i="37"/>
  <c r="H62" i="37"/>
  <c r="H61" i="37"/>
  <c r="H60" i="37"/>
  <c r="H59" i="37"/>
  <c r="H58" i="37"/>
  <c r="H57" i="37"/>
  <c r="H56" i="37"/>
  <c r="H15" i="37"/>
  <c r="H16" i="37"/>
  <c r="H17" i="37"/>
  <c r="H18" i="37"/>
  <c r="H19" i="37"/>
  <c r="H20" i="37"/>
  <c r="H14" i="37"/>
  <c r="Y93" i="34" l="1"/>
  <c r="AM62" i="44" l="1"/>
  <c r="AM63" i="44"/>
  <c r="AM64" i="44"/>
  <c r="AM65" i="44"/>
  <c r="AM61" i="44"/>
  <c r="AL62" i="44"/>
  <c r="AL63" i="44"/>
  <c r="AL64" i="44"/>
  <c r="AL65" i="44"/>
  <c r="S98" i="34"/>
  <c r="S97" i="34"/>
  <c r="S98" i="40"/>
  <c r="S97" i="40"/>
  <c r="S36" i="27"/>
  <c r="X35" i="41"/>
  <c r="O12" i="46" l="1"/>
  <c r="P421" i="48" l="1"/>
  <c r="P420" i="48"/>
  <c r="P392" i="48" l="1"/>
  <c r="P392" i="50"/>
  <c r="P253" i="48" l="1"/>
  <c r="P253" i="50"/>
  <c r="P239" i="48"/>
  <c r="P238" i="48"/>
  <c r="W239" i="48" s="1"/>
  <c r="P207" i="48" l="1"/>
  <c r="P186" i="48" l="1"/>
  <c r="R183" i="48"/>
  <c r="P183" i="48" s="1"/>
  <c r="R182" i="48"/>
  <c r="P182" i="48" s="1"/>
  <c r="P146" i="48"/>
  <c r="R143" i="48"/>
  <c r="R142" i="48"/>
  <c r="P106" i="48"/>
  <c r="R103" i="48"/>
  <c r="R102" i="48"/>
  <c r="P66" i="48" l="1"/>
  <c r="R63" i="48"/>
  <c r="R62" i="48"/>
  <c r="P28" i="48" l="1"/>
  <c r="P28" i="50"/>
  <c r="R25" i="48" l="1"/>
  <c r="R24" i="48"/>
  <c r="P421" i="50" l="1"/>
  <c r="P420" i="50"/>
  <c r="F318" i="50" l="1"/>
  <c r="B303" i="50"/>
  <c r="F299" i="50"/>
  <c r="P239" i="50" l="1"/>
  <c r="P238" i="50"/>
  <c r="W239" i="50" s="1"/>
  <c r="Y223" i="50"/>
  <c r="Z223" i="50"/>
  <c r="P207" i="50" l="1"/>
  <c r="P186" i="50"/>
  <c r="P146" i="50"/>
  <c r="P106" i="50"/>
  <c r="R183" i="50" l="1"/>
  <c r="R182" i="50"/>
  <c r="R143" i="50"/>
  <c r="R142" i="50"/>
  <c r="R103" i="50"/>
  <c r="R102" i="50"/>
  <c r="P66" i="50" l="1"/>
  <c r="R63" i="50"/>
  <c r="R62" i="50"/>
  <c r="R24" i="50" l="1"/>
  <c r="R25" i="50"/>
  <c r="T13" i="50"/>
  <c r="B26" i="50" l="1"/>
  <c r="P575" i="52"/>
  <c r="P573" i="52"/>
  <c r="P573" i="54"/>
  <c r="P575" i="54"/>
  <c r="P432" i="54" l="1"/>
  <c r="P431" i="52"/>
  <c r="P431"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c r="AA197" i="54"/>
  <c r="AA196" i="54"/>
  <c r="AA193" i="54"/>
  <c r="AA192" i="54"/>
  <c r="AA191" i="54"/>
  <c r="S349" i="54"/>
  <c r="S348" i="54"/>
  <c r="S347" i="54"/>
  <c r="T347" i="54" s="1"/>
  <c r="S344" i="54"/>
  <c r="AO344" i="54"/>
  <c r="S343" i="54"/>
  <c r="AU343" i="54" s="1"/>
  <c r="S342" i="54"/>
  <c r="S274" i="54"/>
  <c r="T274" i="54" s="1"/>
  <c r="S273" i="54"/>
  <c r="T273" i="54"/>
  <c r="S272" i="54"/>
  <c r="S269" i="54"/>
  <c r="T269" i="54" s="1"/>
  <c r="AI269" i="54" s="1"/>
  <c r="AO269" i="54"/>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S35" i="54"/>
  <c r="T35" i="54" s="1"/>
  <c r="U18" i="54"/>
  <c r="R21" i="39"/>
  <c r="T63" i="60"/>
  <c r="S51" i="60"/>
  <c r="N13" i="39"/>
  <c r="R10" i="39"/>
  <c r="Y16" i="39"/>
  <c r="Y14" i="39"/>
  <c r="C11" i="62"/>
  <c r="C9" i="62"/>
  <c r="D8" i="46"/>
  <c r="I6" i="46" s="1"/>
  <c r="E2" i="47"/>
  <c r="S38" i="22"/>
  <c r="P38" i="22" s="1"/>
  <c r="L50" i="22" s="1"/>
  <c r="V50" i="22" s="1"/>
  <c r="P50" i="22" s="1"/>
  <c r="L9" i="63"/>
  <c r="L10" i="63"/>
  <c r="L11" i="63"/>
  <c r="L12" i="63"/>
  <c r="L13" i="63"/>
  <c r="L14" i="63"/>
  <c r="L15" i="63"/>
  <c r="L16" i="63"/>
  <c r="L17" i="63"/>
  <c r="L18" i="63"/>
  <c r="L19" i="63"/>
  <c r="L20" i="63"/>
  <c r="L21" i="63"/>
  <c r="L22" i="63"/>
  <c r="L23" i="63"/>
  <c r="L24" i="63"/>
  <c r="L25" i="63"/>
  <c r="L26"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G2" i="47"/>
  <c r="H2" i="47"/>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R65" i="25" s="1"/>
  <c r="P65" i="25" s="1"/>
  <c r="S65" i="25" s="1"/>
  <c r="P8" i="25"/>
  <c r="L66" i="25" s="1"/>
  <c r="R66" i="25" s="1"/>
  <c r="P66" i="25" s="1"/>
  <c r="S66" i="25" s="1"/>
  <c r="P13" i="25"/>
  <c r="L67" i="25" s="1"/>
  <c r="R67" i="25" s="1"/>
  <c r="P67" i="25" s="1"/>
  <c r="S67" i="25" s="1"/>
  <c r="P18" i="25"/>
  <c r="L68" i="25"/>
  <c r="R68" i="25"/>
  <c r="P68" i="25" s="1"/>
  <c r="S68" i="25" s="1"/>
  <c r="P22" i="25"/>
  <c r="L69" i="25" s="1"/>
  <c r="R69" i="25" s="1"/>
  <c r="P69" i="25" s="1"/>
  <c r="S69" i="25" s="1"/>
  <c r="T27" i="25"/>
  <c r="P27" i="25"/>
  <c r="L70" i="25"/>
  <c r="P70" i="25"/>
  <c r="S70" i="25"/>
  <c r="P28" i="25"/>
  <c r="L71" i="25"/>
  <c r="R71" i="25" s="1"/>
  <c r="P71" i="25" s="1"/>
  <c r="S71" i="25" s="1"/>
  <c r="P33" i="25"/>
  <c r="L72" i="25" s="1"/>
  <c r="R72" i="25" s="1"/>
  <c r="P72" i="25" s="1"/>
  <c r="S72" i="25" s="1"/>
  <c r="T38" i="25"/>
  <c r="P38" i="25"/>
  <c r="L73" i="25"/>
  <c r="P73" i="25"/>
  <c r="S73" i="25"/>
  <c r="P39" i="25"/>
  <c r="L74" i="25"/>
  <c r="P74" i="25"/>
  <c r="S74" i="25" s="1"/>
  <c r="P43" i="25"/>
  <c r="P48" i="25"/>
  <c r="L76" i="25" s="1"/>
  <c r="R76" i="25" s="1"/>
  <c r="P76" i="25" s="1"/>
  <c r="S76" i="25" s="1"/>
  <c r="S53" i="25"/>
  <c r="S54" i="25"/>
  <c r="S55" i="25"/>
  <c r="P58" i="25"/>
  <c r="L78" i="25"/>
  <c r="R78" i="25" s="1"/>
  <c r="P78" i="25" s="1"/>
  <c r="S78" i="25" s="1"/>
  <c r="L75" i="25"/>
  <c r="R75" i="25" s="1"/>
  <c r="P75" i="25" s="1"/>
  <c r="S75" i="25" s="1"/>
  <c r="E1" i="26"/>
  <c r="M1" i="26"/>
  <c r="S1" i="26"/>
  <c r="T1" i="26" s="1"/>
  <c r="I24" i="26" s="1"/>
  <c r="P4" i="26"/>
  <c r="L19" i="26" s="1"/>
  <c r="R19" i="26" s="1"/>
  <c r="P19" i="26" s="1"/>
  <c r="T19" i="26" s="1"/>
  <c r="P9" i="26"/>
  <c r="L20" i="26"/>
  <c r="R20" i="26"/>
  <c r="P20" i="26"/>
  <c r="T20" i="26"/>
  <c r="P14" i="26"/>
  <c r="L21" i="26"/>
  <c r="R21" i="26"/>
  <c r="P21" i="26"/>
  <c r="T21" i="26"/>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c r="V49" i="22" s="1"/>
  <c r="P49" i="22" s="1"/>
  <c r="D1" i="33"/>
  <c r="M1" i="33"/>
  <c r="S1" i="33"/>
  <c r="U1" i="33" s="1"/>
  <c r="J12" i="33" s="1"/>
  <c r="M5" i="33"/>
  <c r="W5" i="33" s="1"/>
  <c r="P5" i="33" s="1"/>
  <c r="M6" i="33"/>
  <c r="W6" i="33" s="1"/>
  <c r="P6" i="33" s="1"/>
  <c r="M7" i="33"/>
  <c r="W7" i="33" s="1"/>
  <c r="P7" i="33" s="1"/>
  <c r="P8" i="33"/>
  <c r="D1" i="23"/>
  <c r="M1" i="23"/>
  <c r="S1" i="23"/>
  <c r="T1" i="23" s="1"/>
  <c r="I17" i="23" s="1"/>
  <c r="M5" i="23"/>
  <c r="W5" i="23" s="1"/>
  <c r="P5" i="23" s="1"/>
  <c r="M6" i="23"/>
  <c r="W6" i="23"/>
  <c r="P6" i="23" s="1"/>
  <c r="M7" i="23"/>
  <c r="W7" i="23"/>
  <c r="P7" i="23" s="1"/>
  <c r="M8" i="23"/>
  <c r="W8" i="23" s="1"/>
  <c r="P8" i="23" s="1"/>
  <c r="M9" i="23"/>
  <c r="W9" i="23"/>
  <c r="P9" i="23" s="1"/>
  <c r="M10" i="23"/>
  <c r="W10" i="23" s="1"/>
  <c r="P10" i="23" s="1"/>
  <c r="P11" i="23"/>
  <c r="C1" i="64"/>
  <c r="L1" i="64"/>
  <c r="S1" i="64"/>
  <c r="U1" i="64" s="1"/>
  <c r="C8" i="64" s="1"/>
  <c r="P10" i="64"/>
  <c r="P5" i="64" s="1"/>
  <c r="C1" i="21"/>
  <c r="L1" i="21"/>
  <c r="S1" i="21"/>
  <c r="U1" i="21" s="1"/>
  <c r="C9" i="21" s="1"/>
  <c r="P4" i="21"/>
  <c r="P5" i="21"/>
  <c r="P6" i="21"/>
  <c r="C1" i="32"/>
  <c r="L1" i="32"/>
  <c r="S1" i="32"/>
  <c r="T1" i="32" s="1"/>
  <c r="I19" i="32" s="1"/>
  <c r="S6" i="32"/>
  <c r="O6" i="32"/>
  <c r="S7" i="32"/>
  <c r="O7" i="32" s="1"/>
  <c r="S8" i="32"/>
  <c r="O8" i="32" s="1"/>
  <c r="S9" i="32"/>
  <c r="O9" i="32" s="1"/>
  <c r="S10" i="32"/>
  <c r="O10" i="32"/>
  <c r="S11" i="32"/>
  <c r="O11" i="32" s="1"/>
  <c r="S12" i="32"/>
  <c r="O12" i="32" s="1"/>
  <c r="S13" i="32"/>
  <c r="O13" i="32" s="1"/>
  <c r="S14" i="32"/>
  <c r="O14" i="32" s="1"/>
  <c r="S15" i="32"/>
  <c r="O15" i="32" s="1"/>
  <c r="S16" i="32"/>
  <c r="P6" i="32" s="1"/>
  <c r="F1" i="37"/>
  <c r="L1" i="37"/>
  <c r="S1" i="37"/>
  <c r="U1" i="37" s="1"/>
  <c r="F150"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B42" i="37"/>
  <c r="O14" i="37"/>
  <c r="B45" i="37" s="1"/>
  <c r="AA39" i="37" s="1"/>
  <c r="C42" i="37"/>
  <c r="U39" i="37" s="1"/>
  <c r="O15" i="37"/>
  <c r="C45" i="37"/>
  <c r="AB39" i="37" s="1"/>
  <c r="D42" i="37"/>
  <c r="V39" i="37" s="1"/>
  <c r="O16" i="37"/>
  <c r="D45" i="37" s="1"/>
  <c r="AC39" i="37" s="1"/>
  <c r="E42" i="37"/>
  <c r="W39" i="37" s="1"/>
  <c r="O17" i="37"/>
  <c r="F42" i="37"/>
  <c r="X39" i="37" s="1"/>
  <c r="O18" i="37"/>
  <c r="F45" i="37" s="1"/>
  <c r="AE39" i="37" s="1"/>
  <c r="O19" i="37"/>
  <c r="H42" i="37"/>
  <c r="Z39" i="37" s="1"/>
  <c r="O20" i="37"/>
  <c r="H45" i="37" s="1"/>
  <c r="AG39"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47" i="37" s="1"/>
  <c r="K47" i="37" s="1"/>
  <c r="G42" i="37"/>
  <c r="Y39" i="37" s="1"/>
  <c r="E45" i="37"/>
  <c r="AD39" i="37" s="1"/>
  <c r="G45" i="37"/>
  <c r="AF39" i="37" s="1"/>
  <c r="T51" i="37"/>
  <c r="L9" i="38" s="1"/>
  <c r="M9" i="38" s="1"/>
  <c r="N9" i="38" s="1"/>
  <c r="M51" i="37" s="1"/>
  <c r="T52" i="37"/>
  <c r="L10" i="38" s="1"/>
  <c r="M10" i="38" s="1"/>
  <c r="N10" i="38" s="1"/>
  <c r="M52" i="37" s="1"/>
  <c r="T53" i="37"/>
  <c r="L11" i="38" s="1"/>
  <c r="M11" i="38" s="1"/>
  <c r="N11" i="38" s="1"/>
  <c r="M53" i="37" s="1"/>
  <c r="C91" i="37"/>
  <c r="O56" i="37"/>
  <c r="C96" i="37" s="1"/>
  <c r="AF87" i="37" s="1"/>
  <c r="D91" i="37"/>
  <c r="U87" i="37" s="1"/>
  <c r="O57" i="37"/>
  <c r="D96" i="37" s="1"/>
  <c r="AG87" i="37" s="1"/>
  <c r="O58" i="37"/>
  <c r="E96" i="37" s="1"/>
  <c r="AH87" i="37" s="1"/>
  <c r="O59" i="37"/>
  <c r="F96" i="37" s="1"/>
  <c r="AI87" i="37" s="1"/>
  <c r="G91" i="37"/>
  <c r="X87" i="37" s="1"/>
  <c r="O60" i="37"/>
  <c r="G96" i="37" s="1"/>
  <c r="AJ87" i="37" s="1"/>
  <c r="O61" i="37"/>
  <c r="H96" i="37" s="1"/>
  <c r="AK87" i="37" s="1"/>
  <c r="O62" i="37"/>
  <c r="C98" i="37" s="1"/>
  <c r="AL87" i="37" s="1"/>
  <c r="D93" i="37"/>
  <c r="AA87" i="37" s="1"/>
  <c r="O63" i="37"/>
  <c r="D98" i="37"/>
  <c r="AM87" i="37" s="1"/>
  <c r="E93" i="37"/>
  <c r="AB87" i="37" s="1"/>
  <c r="O64" i="37"/>
  <c r="E98" i="37" s="1"/>
  <c r="AN87" i="37" s="1"/>
  <c r="O65" i="37"/>
  <c r="F98" i="37" s="1"/>
  <c r="AO87" i="37" s="1"/>
  <c r="O66" i="37"/>
  <c r="G98" i="37" s="1"/>
  <c r="AP87" i="37" s="1"/>
  <c r="H93" i="37"/>
  <c r="AE87" i="37" s="1"/>
  <c r="O67" i="37"/>
  <c r="H98" i="37" s="1"/>
  <c r="AQ87" i="37" s="1"/>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B77" i="37"/>
  <c r="C77" i="37"/>
  <c r="D77" i="37"/>
  <c r="E77" i="37"/>
  <c r="F77" i="37"/>
  <c r="G77" i="37"/>
  <c r="H77" i="37"/>
  <c r="I77" i="37"/>
  <c r="J77" i="37"/>
  <c r="K77" i="37"/>
  <c r="L77" i="37"/>
  <c r="M77" i="37"/>
  <c r="N77" i="37"/>
  <c r="B80" i="37"/>
  <c r="C80" i="37"/>
  <c r="D80" i="37"/>
  <c r="E80" i="37"/>
  <c r="F80" i="37"/>
  <c r="G80" i="37"/>
  <c r="H80" i="37"/>
  <c r="I80" i="37"/>
  <c r="J80" i="37"/>
  <c r="K80" i="37"/>
  <c r="L80" i="37"/>
  <c r="M80" i="37"/>
  <c r="P83" i="37"/>
  <c r="G100" i="37" s="1"/>
  <c r="K100" i="37" s="1"/>
  <c r="AS87" i="37" s="1"/>
  <c r="E91" i="37"/>
  <c r="V87" i="37" s="1"/>
  <c r="F91" i="37"/>
  <c r="W87" i="37" s="1"/>
  <c r="H91" i="37"/>
  <c r="Y87" i="37" s="1"/>
  <c r="C93" i="37"/>
  <c r="Z87" i="37" s="1"/>
  <c r="F93" i="37"/>
  <c r="AC87" i="37" s="1"/>
  <c r="G93" i="37"/>
  <c r="AD87" i="37" s="1"/>
  <c r="T104" i="37"/>
  <c r="L12" i="38" s="1"/>
  <c r="M12" i="38" s="1"/>
  <c r="N12" i="38" s="1"/>
  <c r="M104" i="37" s="1"/>
  <c r="T105" i="37"/>
  <c r="L13" i="38" s="1"/>
  <c r="M13" i="38" s="1"/>
  <c r="N13" i="38" s="1"/>
  <c r="M105" i="37" s="1"/>
  <c r="T106" i="37"/>
  <c r="L14" i="38" s="1"/>
  <c r="M14" i="38" s="1"/>
  <c r="N14" i="38" s="1"/>
  <c r="M106" i="37" s="1"/>
  <c r="T107" i="37"/>
  <c r="L15" i="38" s="1"/>
  <c r="M15" i="38" s="1"/>
  <c r="N15" i="38" s="1"/>
  <c r="M107" i="37" s="1"/>
  <c r="O110" i="37"/>
  <c r="D139" i="37" s="1"/>
  <c r="Y132" i="37" s="1"/>
  <c r="H111" i="37"/>
  <c r="E136" i="37" s="1"/>
  <c r="U132" i="37" s="1"/>
  <c r="O111" i="37"/>
  <c r="E139" i="37" s="1"/>
  <c r="Z132" i="37" s="1"/>
  <c r="H112" i="37"/>
  <c r="F136" i="37" s="1"/>
  <c r="V132" i="37" s="1"/>
  <c r="O112" i="37"/>
  <c r="H113" i="37"/>
  <c r="G136" i="37" s="1"/>
  <c r="W132" i="37" s="1"/>
  <c r="O113" i="37"/>
  <c r="G139" i="37" s="1"/>
  <c r="AB132" i="37" s="1"/>
  <c r="H114" i="37"/>
  <c r="H136" i="37" s="1"/>
  <c r="X132" i="37" s="1"/>
  <c r="O114" i="37"/>
  <c r="H139" i="37" s="1"/>
  <c r="AC132" i="37" s="1"/>
  <c r="S118" i="37"/>
  <c r="T118" i="37"/>
  <c r="U118" i="37"/>
  <c r="V118" i="37"/>
  <c r="W118" i="37"/>
  <c r="X118" i="37"/>
  <c r="Y118" i="37"/>
  <c r="Z118" i="37"/>
  <c r="AA118" i="37"/>
  <c r="AB118" i="37"/>
  <c r="AC118" i="37"/>
  <c r="AD118" i="37"/>
  <c r="B123" i="37"/>
  <c r="C123" i="37"/>
  <c r="D123" i="37"/>
  <c r="E123" i="37"/>
  <c r="F123" i="37"/>
  <c r="G123" i="37"/>
  <c r="H123" i="37"/>
  <c r="I123" i="37"/>
  <c r="J123" i="37"/>
  <c r="K123" i="37"/>
  <c r="L123" i="37"/>
  <c r="M123" i="37"/>
  <c r="P128" i="37"/>
  <c r="G141" i="37" s="1"/>
  <c r="K141" i="37" s="1"/>
  <c r="AE132" i="37" s="1"/>
  <c r="D136" i="37"/>
  <c r="T132" i="37" s="1"/>
  <c r="F139" i="37"/>
  <c r="AA132" i="37" s="1"/>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c r="P25" i="41"/>
  <c r="D35" i="41"/>
  <c r="T35" i="41"/>
  <c r="P28" i="41"/>
  <c r="D36" i="41" s="1"/>
  <c r="S36" i="41" s="1"/>
  <c r="H36" i="41" s="1"/>
  <c r="T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c r="T34" i="27"/>
  <c r="P25" i="27"/>
  <c r="D35" i="27"/>
  <c r="T35" i="27"/>
  <c r="P28" i="27"/>
  <c r="D36" i="27" s="1"/>
  <c r="X35" i="27"/>
  <c r="H36" i="27"/>
  <c r="C1" i="40"/>
  <c r="L1" i="40"/>
  <c r="S1" i="40"/>
  <c r="T1" i="40" s="1"/>
  <c r="I101" i="40" s="1"/>
  <c r="K7" i="40"/>
  <c r="T7" i="40"/>
  <c r="Z3" i="35" s="1"/>
  <c r="AA3" i="35" s="1"/>
  <c r="AB3" i="35" s="1"/>
  <c r="E7" i="40" s="1"/>
  <c r="U7" i="40"/>
  <c r="T8" i="40"/>
  <c r="Z4" i="35" s="1"/>
  <c r="AA4" i="35" s="1"/>
  <c r="AB4" i="35" s="1"/>
  <c r="I9" i="40"/>
  <c r="K9" i="40"/>
  <c r="T9" i="40"/>
  <c r="U9" i="40"/>
  <c r="T10" i="40"/>
  <c r="Z6" i="35"/>
  <c r="AA6" i="35" s="1"/>
  <c r="AB6" i="35" s="1"/>
  <c r="I11" i="40"/>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P23" i="40"/>
  <c r="P24" i="40"/>
  <c r="P25" i="40"/>
  <c r="E95" i="40"/>
  <c r="S31" i="40"/>
  <c r="S32" i="40"/>
  <c r="P31" i="40" s="1"/>
  <c r="E96" i="40" s="1"/>
  <c r="T96" i="40" s="1"/>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E92" i="40"/>
  <c r="T92" i="40"/>
  <c r="E93" i="40"/>
  <c r="Y93" i="40"/>
  <c r="E94" i="40"/>
  <c r="T94" i="40"/>
  <c r="T95" i="40"/>
  <c r="I97" i="40"/>
  <c r="I98"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c r="T92" i="34"/>
  <c r="P23" i="34"/>
  <c r="P24" i="34"/>
  <c r="E94" i="34"/>
  <c r="T94" i="34"/>
  <c r="P25" i="34"/>
  <c r="E95" i="34"/>
  <c r="T95" i="34"/>
  <c r="S31" i="34"/>
  <c r="S32" i="34"/>
  <c r="P31" i="34" s="1"/>
  <c r="E96" i="34" s="1"/>
  <c r="T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E93" i="34"/>
  <c r="T93" i="34"/>
  <c r="I97" i="34"/>
  <c r="I98" i="34"/>
  <c r="J1" i="44"/>
  <c r="V1" i="44"/>
  <c r="AM3" i="44"/>
  <c r="AN4" i="44" s="1"/>
  <c r="K97" i="44" s="1"/>
  <c r="G5" i="44"/>
  <c r="AL7" i="44"/>
  <c r="AM7" i="44"/>
  <c r="B8" i="44"/>
  <c r="S8" i="44"/>
  <c r="AL8" i="44"/>
  <c r="AM8"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F52" i="44"/>
  <c r="Z63" i="44" s="1"/>
  <c r="O53" i="44"/>
  <c r="I64" i="44" s="1"/>
  <c r="AF53" i="44"/>
  <c r="Z64" i="44" s="1"/>
  <c r="O54" i="44"/>
  <c r="I65" i="44" s="1"/>
  <c r="AF54" i="44"/>
  <c r="Z65" i="44" s="1"/>
  <c r="O56" i="44"/>
  <c r="I66" i="44" s="1"/>
  <c r="AN66" i="44" s="1"/>
  <c r="AO66" i="44" s="1"/>
  <c r="AF56" i="44"/>
  <c r="Z66" i="44" s="1"/>
  <c r="AS66" i="44" s="1"/>
  <c r="AT66" i="44" s="1"/>
  <c r="B59" i="44"/>
  <c r="S59" i="44"/>
  <c r="B60" i="44"/>
  <c r="I83" i="44"/>
  <c r="C1" i="46"/>
  <c r="L1" i="46"/>
  <c r="T3" i="46"/>
  <c r="F5" i="46"/>
  <c r="I5" i="46"/>
  <c r="L5" i="46"/>
  <c r="B10" i="46"/>
  <c r="S12" i="46"/>
  <c r="T12" i="46"/>
  <c r="U12" i="46"/>
  <c r="V12" i="46"/>
  <c r="S13" i="46"/>
  <c r="T13" i="46"/>
  <c r="U13" i="46"/>
  <c r="V13" i="46"/>
  <c r="U16" i="46"/>
  <c r="V16" i="46" s="1"/>
  <c r="S17" i="46"/>
  <c r="U17" i="46"/>
  <c r="V17" i="46" s="1"/>
  <c r="W17" i="46"/>
  <c r="X17" i="46" s="1"/>
  <c r="Y17" i="46"/>
  <c r="Z17" i="46" s="1"/>
  <c r="D1" i="48"/>
  <c r="M1" i="48"/>
  <c r="R2" i="48"/>
  <c r="S2" i="48" s="1"/>
  <c r="H501" i="48" s="1"/>
  <c r="P8" i="48"/>
  <c r="E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S39" i="48" s="1"/>
  <c r="T31" i="48"/>
  <c r="P31" i="48"/>
  <c r="E40" i="48" s="1"/>
  <c r="S40" i="48" s="1"/>
  <c r="P46" i="48"/>
  <c r="E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S78" i="48" s="1"/>
  <c r="T69" i="48"/>
  <c r="P69" i="48" s="1"/>
  <c r="E79" i="48" s="1"/>
  <c r="S79" i="48" s="1"/>
  <c r="T70" i="48"/>
  <c r="P70" i="48" s="1"/>
  <c r="E80" i="48" s="1"/>
  <c r="S80" i="48" s="1"/>
  <c r="P86" i="48"/>
  <c r="E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S118" i="48" s="1"/>
  <c r="T109" i="48"/>
  <c r="P109" i="48" s="1"/>
  <c r="E119" i="48" s="1"/>
  <c r="S119" i="48" s="1"/>
  <c r="T110" i="48"/>
  <c r="P110" i="48" s="1"/>
  <c r="E120" i="48" s="1"/>
  <c r="S120" i="48" s="1"/>
  <c r="P126" i="48"/>
  <c r="E153" i="48" s="1"/>
  <c r="S153" i="48" s="1"/>
  <c r="O129" i="48"/>
  <c r="O130" i="48"/>
  <c r="Y138" i="48" s="1"/>
  <c r="L134" i="48"/>
  <c r="T134" i="48"/>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S158" i="48" s="1"/>
  <c r="T149" i="48"/>
  <c r="P149" i="48" s="1"/>
  <c r="E159" i="48" s="1"/>
  <c r="S159" i="48" s="1"/>
  <c r="T150" i="48"/>
  <c r="P150" i="48" s="1"/>
  <c r="E160" i="48" s="1"/>
  <c r="S160" i="48" s="1"/>
  <c r="P166" i="48"/>
  <c r="E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T189" i="48"/>
  <c r="P189" i="48" s="1"/>
  <c r="E199" i="48" s="1"/>
  <c r="S199" i="48" s="1"/>
  <c r="T190" i="48"/>
  <c r="P190" i="48" s="1"/>
  <c r="E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4" i="48"/>
  <c r="Y354" i="48" s="1"/>
  <c r="E355" i="48"/>
  <c r="Y355" i="48" s="1"/>
  <c r="P242" i="48"/>
  <c r="E356" i="48" s="1"/>
  <c r="Y356" i="48" s="1"/>
  <c r="P243" i="48"/>
  <c r="S244" i="48"/>
  <c r="P244" i="48" s="1"/>
  <c r="E358" i="48" s="1"/>
  <c r="Y358" i="48" s="1"/>
  <c r="P247" i="48"/>
  <c r="E359" i="48" s="1"/>
  <c r="S359" i="48" s="1"/>
  <c r="S248" i="48"/>
  <c r="P248" i="48" s="1"/>
  <c r="E360" i="48" s="1"/>
  <c r="S360" i="48" s="1"/>
  <c r="S250" i="48"/>
  <c r="P250" i="48" s="1"/>
  <c r="E361" i="48" s="1"/>
  <c r="S361" i="48" s="1"/>
  <c r="E362" i="48"/>
  <c r="Y362" i="48" s="1"/>
  <c r="R253" i="48"/>
  <c r="P254" i="48"/>
  <c r="E363" i="48" s="1"/>
  <c r="Y363" i="48" s="1"/>
  <c r="S257" i="48"/>
  <c r="S258" i="48"/>
  <c r="S259" i="48"/>
  <c r="S260" i="48"/>
  <c r="S261" i="48"/>
  <c r="S262" i="48"/>
  <c r="S263" i="48"/>
  <c r="P267" i="48"/>
  <c r="W346" i="48" s="1"/>
  <c r="S281" i="48"/>
  <c r="M281" i="48" s="1"/>
  <c r="T281" i="48"/>
  <c r="U281" i="48"/>
  <c r="S282" i="48"/>
  <c r="M282" i="48" s="1"/>
  <c r="T282" i="48"/>
  <c r="U282" i="48"/>
  <c r="S283" i="48"/>
  <c r="M283" i="48" s="1"/>
  <c r="T283" i="48"/>
  <c r="U283" i="48"/>
  <c r="S284" i="48"/>
  <c r="M284" i="48" s="1"/>
  <c r="T284" i="48"/>
  <c r="U284" i="48"/>
  <c r="S285" i="48"/>
  <c r="M285" i="48" s="1"/>
  <c r="T285" i="48"/>
  <c r="U285" i="48"/>
  <c r="F287" i="48"/>
  <c r="S287" i="48"/>
  <c r="F288" i="48" s="1"/>
  <c r="T287" i="48"/>
  <c r="U287" i="48"/>
  <c r="S288" i="48"/>
  <c r="T288" i="48"/>
  <c r="U288" i="48"/>
  <c r="S289" i="48"/>
  <c r="T289" i="48"/>
  <c r="U289" i="48"/>
  <c r="S290" i="48"/>
  <c r="T290" i="48"/>
  <c r="U290" i="48"/>
  <c r="S291" i="48"/>
  <c r="T291" i="48"/>
  <c r="U291" i="48"/>
  <c r="F293" i="48"/>
  <c r="S293" i="48"/>
  <c r="F295" i="48" s="1"/>
  <c r="T293" i="48"/>
  <c r="U293" i="48"/>
  <c r="S294" i="48"/>
  <c r="T294" i="48"/>
  <c r="U294" i="48"/>
  <c r="S295" i="48"/>
  <c r="T295" i="48"/>
  <c r="U295" i="48"/>
  <c r="S296" i="48"/>
  <c r="T296" i="48"/>
  <c r="U296" i="48"/>
  <c r="S297" i="48"/>
  <c r="T297" i="48"/>
  <c r="U297" i="48"/>
  <c r="S298" i="48"/>
  <c r="T298" i="48"/>
  <c r="U298" i="48"/>
  <c r="F299" i="48"/>
  <c r="P299" i="48" s="1"/>
  <c r="Z282" i="48" s="1"/>
  <c r="F300" i="48"/>
  <c r="S300" i="48"/>
  <c r="T300" i="48"/>
  <c r="U300" i="48"/>
  <c r="S301" i="48"/>
  <c r="T301" i="48"/>
  <c r="U301" i="48"/>
  <c r="S302" i="48"/>
  <c r="T302" i="48"/>
  <c r="U302" i="48"/>
  <c r="B303" i="48"/>
  <c r="F308" i="48"/>
  <c r="S308" i="48"/>
  <c r="F317" i="48" s="1"/>
  <c r="T308" i="48"/>
  <c r="U308" i="48"/>
  <c r="S309" i="48"/>
  <c r="T309" i="48"/>
  <c r="U309" i="48"/>
  <c r="S310" i="48"/>
  <c r="T310" i="48"/>
  <c r="U310" i="48"/>
  <c r="S311" i="48"/>
  <c r="T311" i="48"/>
  <c r="U311" i="48"/>
  <c r="S312" i="48"/>
  <c r="T312" i="48"/>
  <c r="U312" i="48"/>
  <c r="S313" i="48"/>
  <c r="T313" i="48"/>
  <c r="U313" i="48"/>
  <c r="S314" i="48"/>
  <c r="T314" i="48"/>
  <c r="U314" i="48"/>
  <c r="S315" i="48"/>
  <c r="T315" i="48"/>
  <c r="U315" i="48"/>
  <c r="F316" i="48"/>
  <c r="S316" i="48"/>
  <c r="T316" i="48"/>
  <c r="U316" i="48"/>
  <c r="S317" i="48"/>
  <c r="T317" i="48"/>
  <c r="U317" i="48"/>
  <c r="F318" i="48"/>
  <c r="F319" i="48"/>
  <c r="S319" i="48"/>
  <c r="T319" i="48"/>
  <c r="U319" i="48"/>
  <c r="B320" i="48"/>
  <c r="S321" i="48"/>
  <c r="F327" i="48" s="1"/>
  <c r="T321" i="48"/>
  <c r="U321" i="48"/>
  <c r="S322" i="48"/>
  <c r="T322" i="48"/>
  <c r="U322" i="48"/>
  <c r="S323" i="48"/>
  <c r="T323" i="48"/>
  <c r="U323" i="48"/>
  <c r="S324" i="48"/>
  <c r="T324" i="48"/>
  <c r="U324" i="48"/>
  <c r="S325" i="48"/>
  <c r="T325" i="48"/>
  <c r="U325" i="48"/>
  <c r="S326" i="48"/>
  <c r="T326" i="48"/>
  <c r="U326" i="48"/>
  <c r="S327" i="48"/>
  <c r="T327" i="48"/>
  <c r="U327" i="48"/>
  <c r="S329" i="48"/>
  <c r="M329" i="48" s="1"/>
  <c r="T329" i="48"/>
  <c r="U329" i="48"/>
  <c r="S330" i="48"/>
  <c r="M330" i="48" s="1"/>
  <c r="T330" i="48"/>
  <c r="U330" i="48"/>
  <c r="S331" i="48"/>
  <c r="F334" i="48" s="1"/>
  <c r="T331" i="48"/>
  <c r="U331" i="48"/>
  <c r="S332" i="48"/>
  <c r="T332" i="48"/>
  <c r="U332" i="48"/>
  <c r="S333" i="48"/>
  <c r="T333" i="48"/>
  <c r="U333" i="48"/>
  <c r="S334" i="48"/>
  <c r="T334" i="48"/>
  <c r="U334" i="48"/>
  <c r="S336" i="48"/>
  <c r="M336" i="48" s="1"/>
  <c r="T336" i="48"/>
  <c r="U336" i="48"/>
  <c r="E357" i="48"/>
  <c r="Y357" i="48" s="1"/>
  <c r="P373" i="48"/>
  <c r="E449" i="48" s="1"/>
  <c r="S449" i="48" s="1"/>
  <c r="Z377" i="48"/>
  <c r="Z378" i="48"/>
  <c r="AA377" i="48"/>
  <c r="AA378" i="48"/>
  <c r="L377" i="48"/>
  <c r="T377" i="48"/>
  <c r="AR55" i="51" s="1"/>
  <c r="AS55" i="51" s="1"/>
  <c r="AT55" i="51" s="1"/>
  <c r="E377" i="48" s="1"/>
  <c r="U377" i="48"/>
  <c r="T378" i="48"/>
  <c r="AR56" i="51" s="1"/>
  <c r="AS56" i="51" s="1"/>
  <c r="AT56" i="51" s="1"/>
  <c r="L379" i="48"/>
  <c r="T379" i="48"/>
  <c r="AR57" i="51" s="1"/>
  <c r="AS57" i="51" s="1"/>
  <c r="AT57" i="51" s="1"/>
  <c r="E379" i="48" s="1"/>
  <c r="U379" i="48"/>
  <c r="T380" i="48"/>
  <c r="AR58" i="51" s="1"/>
  <c r="AS58" i="51" s="1"/>
  <c r="AT58" i="51" s="1"/>
  <c r="L382" i="48"/>
  <c r="T382" i="48"/>
  <c r="AR61" i="51" s="1"/>
  <c r="AS61" i="51" s="1"/>
  <c r="AT61" i="51" s="1"/>
  <c r="E382" i="48" s="1"/>
  <c r="U382" i="48"/>
  <c r="L383" i="48"/>
  <c r="T383" i="48"/>
  <c r="U383" i="48"/>
  <c r="L384" i="48"/>
  <c r="T384" i="48"/>
  <c r="U384" i="48"/>
  <c r="L385" i="48"/>
  <c r="T385" i="48"/>
  <c r="AR64" i="51" s="1"/>
  <c r="AS64" i="51" s="1"/>
  <c r="AT64" i="51" s="1"/>
  <c r="E385" i="48" s="1"/>
  <c r="U385" i="48"/>
  <c r="L386" i="48"/>
  <c r="T386" i="48"/>
  <c r="Y386" i="48" s="1"/>
  <c r="V386" i="48" s="1"/>
  <c r="AW65" i="51" s="1"/>
  <c r="AX65" i="51" s="1"/>
  <c r="AY65" i="51" s="1"/>
  <c r="U386" i="48"/>
  <c r="L387" i="48"/>
  <c r="T387" i="48"/>
  <c r="Y387" i="48" s="1"/>
  <c r="V387" i="48" s="1"/>
  <c r="AW66" i="51" s="1"/>
  <c r="AX66" i="51" s="1"/>
  <c r="AY66" i="51" s="1"/>
  <c r="U387" i="48"/>
  <c r="E452" i="48"/>
  <c r="S452" i="48" s="1"/>
  <c r="R397" i="48"/>
  <c r="R398" i="48"/>
  <c r="R399" i="48"/>
  <c r="R400" i="48"/>
  <c r="P404" i="48"/>
  <c r="P407" i="48"/>
  <c r="E455" i="48" s="1"/>
  <c r="S455" i="48" s="1"/>
  <c r="AI411" i="48"/>
  <c r="S413" i="48"/>
  <c r="S417" i="48"/>
  <c r="S418" i="48"/>
  <c r="P418" i="48" s="1"/>
  <c r="E463" i="48" s="1"/>
  <c r="S463" i="48" s="1"/>
  <c r="P427" i="48"/>
  <c r="S430" i="48"/>
  <c r="S431" i="48"/>
  <c r="S432" i="48"/>
  <c r="S433" i="48"/>
  <c r="S434" i="48"/>
  <c r="S435" i="48"/>
  <c r="S436" i="48"/>
  <c r="P439" i="48"/>
  <c r="W451" i="48" s="1"/>
  <c r="P443" i="48"/>
  <c r="E454" i="48"/>
  <c r="S454" i="48" s="1"/>
  <c r="C489" i="48"/>
  <c r="O499" i="48" s="1"/>
  <c r="D1" i="50"/>
  <c r="M1" i="50"/>
  <c r="R2" i="50"/>
  <c r="P8" i="50"/>
  <c r="E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S39" i="50" s="1"/>
  <c r="T31" i="50"/>
  <c r="P31" i="50" s="1"/>
  <c r="E40" i="50" s="1"/>
  <c r="S40" i="50" s="1"/>
  <c r="P46" i="50"/>
  <c r="E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S78" i="50" s="1"/>
  <c r="T69" i="50"/>
  <c r="P69" i="50" s="1"/>
  <c r="E79" i="50" s="1"/>
  <c r="S79" i="50" s="1"/>
  <c r="T70" i="50"/>
  <c r="P70" i="50" s="1"/>
  <c r="E80" i="50" s="1"/>
  <c r="S80" i="50" s="1"/>
  <c r="P86" i="50"/>
  <c r="E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W117" i="50" s="1"/>
  <c r="T108" i="50"/>
  <c r="P108" i="50" s="1"/>
  <c r="E118" i="50" s="1"/>
  <c r="S118" i="50" s="1"/>
  <c r="T109" i="50"/>
  <c r="P109" i="50" s="1"/>
  <c r="E119" i="50" s="1"/>
  <c r="S119" i="50" s="1"/>
  <c r="T110" i="50"/>
  <c r="P110" i="50" s="1"/>
  <c r="E120" i="50" s="1"/>
  <c r="S120" i="50" s="1"/>
  <c r="P126" i="50"/>
  <c r="E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S158" i="50" s="1"/>
  <c r="T149" i="50"/>
  <c r="P149" i="50" s="1"/>
  <c r="E159" i="50" s="1"/>
  <c r="S159" i="50" s="1"/>
  <c r="T150" i="50"/>
  <c r="P150" i="50" s="1"/>
  <c r="E160" i="50" s="1"/>
  <c r="S160" i="50" s="1"/>
  <c r="P166" i="50"/>
  <c r="E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S198" i="50" s="1"/>
  <c r="T189" i="50"/>
  <c r="P189" i="50" s="1"/>
  <c r="E199" i="50" s="1"/>
  <c r="S199" i="50" s="1"/>
  <c r="T190" i="50"/>
  <c r="P190" i="50" s="1"/>
  <c r="E200" i="50" s="1"/>
  <c r="S200" i="50" s="1"/>
  <c r="S208" i="50"/>
  <c r="S209" i="50"/>
  <c r="S210" i="50"/>
  <c r="S211" i="50"/>
  <c r="S212" i="50"/>
  <c r="P212" i="50" s="1"/>
  <c r="E347" i="50" s="1"/>
  <c r="S347"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4" i="50"/>
  <c r="Y354" i="50" s="1"/>
  <c r="E355" i="50"/>
  <c r="Y355" i="50" s="1"/>
  <c r="P242" i="50"/>
  <c r="E356" i="50" s="1"/>
  <c r="Y356" i="50" s="1"/>
  <c r="P243" i="50"/>
  <c r="E357" i="50" s="1"/>
  <c r="Y357" i="50" s="1"/>
  <c r="S244" i="50"/>
  <c r="P244" i="50" s="1"/>
  <c r="E358" i="50" s="1"/>
  <c r="Y358" i="50" s="1"/>
  <c r="P247" i="50"/>
  <c r="E359" i="50" s="1"/>
  <c r="S359" i="50" s="1"/>
  <c r="S248" i="50"/>
  <c r="P248" i="50" s="1"/>
  <c r="E360" i="50" s="1"/>
  <c r="S360" i="50" s="1"/>
  <c r="S250" i="50"/>
  <c r="P250" i="50" s="1"/>
  <c r="E361" i="50" s="1"/>
  <c r="S361" i="50" s="1"/>
  <c r="E362" i="50"/>
  <c r="Y362" i="50" s="1"/>
  <c r="R253" i="50"/>
  <c r="P254" i="50"/>
  <c r="E363" i="50" s="1"/>
  <c r="Y363" i="50" s="1"/>
  <c r="S257" i="50"/>
  <c r="S258" i="50"/>
  <c r="S259" i="50"/>
  <c r="S260" i="50"/>
  <c r="S261" i="50"/>
  <c r="S262" i="50"/>
  <c r="S263" i="50"/>
  <c r="P267" i="50"/>
  <c r="W346" i="50" s="1"/>
  <c r="S281" i="50"/>
  <c r="M281" i="50" s="1"/>
  <c r="T281" i="50"/>
  <c r="U281" i="50"/>
  <c r="S282" i="50"/>
  <c r="M282" i="50" s="1"/>
  <c r="T282" i="50"/>
  <c r="U282" i="50"/>
  <c r="S283" i="50"/>
  <c r="M283" i="50" s="1"/>
  <c r="T283" i="50"/>
  <c r="U283" i="50"/>
  <c r="S284" i="50"/>
  <c r="M284" i="50" s="1"/>
  <c r="T284" i="50"/>
  <c r="U284" i="50"/>
  <c r="S285" i="50"/>
  <c r="M285" i="50" s="1"/>
  <c r="T285" i="50"/>
  <c r="U285" i="50"/>
  <c r="F287" i="50"/>
  <c r="S287" i="50"/>
  <c r="F288" i="50" s="1"/>
  <c r="T287" i="50"/>
  <c r="U287" i="50"/>
  <c r="S288" i="50"/>
  <c r="T288" i="50"/>
  <c r="U288" i="50"/>
  <c r="S289" i="50"/>
  <c r="T289" i="50"/>
  <c r="U289" i="50"/>
  <c r="S290" i="50"/>
  <c r="T290" i="50"/>
  <c r="U290" i="50"/>
  <c r="S291" i="50"/>
  <c r="T291" i="50"/>
  <c r="U291" i="50"/>
  <c r="F293" i="50"/>
  <c r="S293" i="50"/>
  <c r="F294" i="50" s="1"/>
  <c r="T293" i="50"/>
  <c r="U293" i="50"/>
  <c r="S294" i="50"/>
  <c r="T294" i="50"/>
  <c r="U294" i="50"/>
  <c r="S295" i="50"/>
  <c r="T295" i="50"/>
  <c r="U295" i="50"/>
  <c r="S296" i="50"/>
  <c r="T296" i="50"/>
  <c r="U296" i="50"/>
  <c r="S297" i="50"/>
  <c r="T297" i="50"/>
  <c r="U297" i="50"/>
  <c r="S298" i="50"/>
  <c r="T298" i="50"/>
  <c r="U298" i="50"/>
  <c r="F300" i="50"/>
  <c r="S300" i="50"/>
  <c r="T300" i="50"/>
  <c r="U300" i="50"/>
  <c r="S301" i="50"/>
  <c r="T301" i="50"/>
  <c r="U301" i="50"/>
  <c r="S302" i="50"/>
  <c r="T302" i="50"/>
  <c r="U302" i="50"/>
  <c r="F308" i="50"/>
  <c r="S308" i="50"/>
  <c r="F310" i="50" s="1"/>
  <c r="T308" i="50"/>
  <c r="U308" i="50"/>
  <c r="S309" i="50"/>
  <c r="T309" i="50"/>
  <c r="U309" i="50"/>
  <c r="S310" i="50"/>
  <c r="T310" i="50"/>
  <c r="U310" i="50"/>
  <c r="S311" i="50"/>
  <c r="T311" i="50"/>
  <c r="U311" i="50"/>
  <c r="S312" i="50"/>
  <c r="T312" i="50"/>
  <c r="U312" i="50"/>
  <c r="S313" i="50"/>
  <c r="T313" i="50"/>
  <c r="U313" i="50"/>
  <c r="S314" i="50"/>
  <c r="T314" i="50"/>
  <c r="U314" i="50"/>
  <c r="S315" i="50"/>
  <c r="T315" i="50"/>
  <c r="U315" i="50"/>
  <c r="F316" i="50"/>
  <c r="S316" i="50"/>
  <c r="T316" i="50"/>
  <c r="U316" i="50"/>
  <c r="S317" i="50"/>
  <c r="T317" i="50"/>
  <c r="U317" i="50"/>
  <c r="S319" i="50"/>
  <c r="T319" i="50"/>
  <c r="U319" i="50"/>
  <c r="B320" i="50"/>
  <c r="S321" i="50"/>
  <c r="F323" i="50" s="1"/>
  <c r="T321" i="50"/>
  <c r="U321" i="50"/>
  <c r="S322" i="50"/>
  <c r="T322" i="50"/>
  <c r="U322" i="50"/>
  <c r="S323" i="50"/>
  <c r="T323" i="50"/>
  <c r="U323" i="50"/>
  <c r="S324" i="50"/>
  <c r="T324" i="50"/>
  <c r="U324" i="50"/>
  <c r="S325" i="50"/>
  <c r="T325" i="50"/>
  <c r="U325" i="50"/>
  <c r="S326" i="50"/>
  <c r="T326" i="50"/>
  <c r="U326" i="50"/>
  <c r="S327" i="50"/>
  <c r="T327" i="50"/>
  <c r="U327" i="50"/>
  <c r="S329" i="50"/>
  <c r="M329" i="50" s="1"/>
  <c r="T329" i="50"/>
  <c r="U329" i="50"/>
  <c r="S330" i="50"/>
  <c r="M330" i="50" s="1"/>
  <c r="T330" i="50"/>
  <c r="U330" i="50"/>
  <c r="S331" i="50"/>
  <c r="F333" i="50" s="1"/>
  <c r="T331" i="50"/>
  <c r="U331" i="50"/>
  <c r="S332" i="50"/>
  <c r="T332" i="50"/>
  <c r="U332" i="50"/>
  <c r="S333" i="50"/>
  <c r="T333" i="50"/>
  <c r="U333" i="50"/>
  <c r="S334" i="50"/>
  <c r="T334" i="50"/>
  <c r="U334" i="50"/>
  <c r="S336" i="50"/>
  <c r="M336" i="50" s="1"/>
  <c r="T336" i="50"/>
  <c r="U336" i="50"/>
  <c r="P373" i="50"/>
  <c r="E449" i="50" s="1"/>
  <c r="S449" i="50" s="1"/>
  <c r="Z377" i="50"/>
  <c r="Z378" i="50"/>
  <c r="AA377" i="50"/>
  <c r="AA378" i="50"/>
  <c r="L377" i="50"/>
  <c r="T377" i="50"/>
  <c r="U377" i="50"/>
  <c r="T378" i="50"/>
  <c r="AH56" i="51" s="1"/>
  <c r="AI56" i="51" s="1"/>
  <c r="AJ56" i="51" s="1"/>
  <c r="L379" i="50"/>
  <c r="T379" i="50"/>
  <c r="AH57" i="51" s="1"/>
  <c r="AI57" i="51" s="1"/>
  <c r="AJ57" i="51" s="1"/>
  <c r="E379" i="50" s="1"/>
  <c r="U379" i="50"/>
  <c r="X379" i="50" s="1"/>
  <c r="T380" i="50"/>
  <c r="AH58" i="51" s="1"/>
  <c r="AI58" i="51" s="1"/>
  <c r="AJ58" i="51" s="1"/>
  <c r="L382" i="50"/>
  <c r="T382" i="50"/>
  <c r="U382" i="50"/>
  <c r="L383" i="50"/>
  <c r="T383" i="50"/>
  <c r="AH62" i="51" s="1"/>
  <c r="AI62" i="51" s="1"/>
  <c r="AJ62" i="51" s="1"/>
  <c r="E383" i="50" s="1"/>
  <c r="U383" i="50"/>
  <c r="L384" i="50"/>
  <c r="T384" i="50"/>
  <c r="AH63" i="51" s="1"/>
  <c r="AI63" i="51" s="1"/>
  <c r="AJ63" i="51" s="1"/>
  <c r="E384" i="50" s="1"/>
  <c r="U384" i="50"/>
  <c r="L385" i="50"/>
  <c r="T385" i="50"/>
  <c r="AH64" i="51" s="1"/>
  <c r="AI64" i="51" s="1"/>
  <c r="AJ64" i="51" s="1"/>
  <c r="E385" i="50" s="1"/>
  <c r="U385" i="50"/>
  <c r="L386" i="50"/>
  <c r="T386" i="50"/>
  <c r="AH65" i="51" s="1"/>
  <c r="AI65" i="51" s="1"/>
  <c r="AJ65" i="51" s="1"/>
  <c r="E386" i="50" s="1"/>
  <c r="U386" i="50"/>
  <c r="L387" i="50"/>
  <c r="T387" i="50"/>
  <c r="U387" i="50"/>
  <c r="E452" i="50"/>
  <c r="S452" i="50" s="1"/>
  <c r="R397" i="50"/>
  <c r="R398" i="50"/>
  <c r="R399" i="50"/>
  <c r="R400" i="50"/>
  <c r="P404" i="50"/>
  <c r="E454" i="50" s="1"/>
  <c r="S454" i="50" s="1"/>
  <c r="P407" i="50"/>
  <c r="E455" i="50" s="1"/>
  <c r="S455" i="50" s="1"/>
  <c r="S413" i="50"/>
  <c r="S417" i="50"/>
  <c r="P411" i="50" s="1"/>
  <c r="E456" i="50" s="1"/>
  <c r="S456" i="50" s="1"/>
  <c r="S418" i="50"/>
  <c r="P418" i="50" s="1"/>
  <c r="E463" i="50" s="1"/>
  <c r="S463" i="50" s="1"/>
  <c r="E465" i="50"/>
  <c r="Y465" i="50" s="1"/>
  <c r="P427" i="50"/>
  <c r="S430" i="50"/>
  <c r="S431" i="50"/>
  <c r="S432" i="50"/>
  <c r="S433" i="50"/>
  <c r="S434" i="50"/>
  <c r="S435" i="50"/>
  <c r="S436" i="50"/>
  <c r="P439" i="50"/>
  <c r="W451" i="50" s="1"/>
  <c r="P443" i="50"/>
  <c r="W455" i="50" s="1"/>
  <c r="C489" i="50"/>
  <c r="D1" i="52"/>
  <c r="M1" i="52"/>
  <c r="R2" i="52"/>
  <c r="S2" i="52" s="1"/>
  <c r="J638"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X33" i="52"/>
  <c r="AQ33" i="52"/>
  <c r="S34" i="52"/>
  <c r="AO34" i="52" s="1"/>
  <c r="X34" i="52"/>
  <c r="AQ34" i="52" s="1"/>
  <c r="S35" i="52"/>
  <c r="X35" i="52"/>
  <c r="AQ35" i="52" s="1"/>
  <c r="S38" i="52"/>
  <c r="T39" i="52" s="1"/>
  <c r="AI39" i="52" s="1"/>
  <c r="X38" i="52"/>
  <c r="AQ38" i="52" s="1"/>
  <c r="AC38" i="52"/>
  <c r="S39" i="52"/>
  <c r="X39" i="52"/>
  <c r="AQ39" i="52" s="1"/>
  <c r="S40" i="52"/>
  <c r="T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V74" i="52" s="1"/>
  <c r="T55" i="52"/>
  <c r="P55" i="52" s="1"/>
  <c r="E75" i="52" s="1"/>
  <c r="R75" i="52" s="1"/>
  <c r="P57" i="52"/>
  <c r="E76" i="52" s="1"/>
  <c r="P58" i="52"/>
  <c r="E77" i="52" s="1"/>
  <c r="P81" i="52"/>
  <c r="E138" i="52" s="1"/>
  <c r="V138" i="52" s="1"/>
  <c r="R84" i="52"/>
  <c r="K91" i="52"/>
  <c r="T91" i="52"/>
  <c r="BD12" i="55" s="1"/>
  <c r="BE12" i="55" s="1"/>
  <c r="BF12" i="55" s="1"/>
  <c r="E91" i="52" s="1"/>
  <c r="U91" i="52"/>
  <c r="I92" i="52"/>
  <c r="K92" i="52"/>
  <c r="T92" i="52"/>
  <c r="W92" i="52" s="1"/>
  <c r="U92" i="52"/>
  <c r="X92" i="52" s="1"/>
  <c r="G93" i="52"/>
  <c r="T93" i="52"/>
  <c r="BD14" i="55" s="1"/>
  <c r="BE14" i="55" s="1"/>
  <c r="BF14" i="55" s="1"/>
  <c r="E93" i="52" s="1"/>
  <c r="AA95" i="52" s="1"/>
  <c r="K95" i="52"/>
  <c r="T95" i="52"/>
  <c r="BD16" i="55" s="1"/>
  <c r="BE16" i="55" s="1"/>
  <c r="BF16" i="55" s="1"/>
  <c r="E95" i="52" s="1"/>
  <c r="U95" i="52"/>
  <c r="I96" i="52"/>
  <c r="K96" i="52"/>
  <c r="T96" i="52"/>
  <c r="U96" i="52"/>
  <c r="X96" i="52" s="1"/>
  <c r="G97" i="52"/>
  <c r="T97" i="52"/>
  <c r="BD18" i="55" s="1"/>
  <c r="BE18" i="55" s="1"/>
  <c r="BF18" i="55" s="1"/>
  <c r="E97" i="52" s="1"/>
  <c r="AB95"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T131" i="52"/>
  <c r="P131" i="52" s="1"/>
  <c r="E149" i="52" s="1"/>
  <c r="T132" i="52"/>
  <c r="P132" i="52" s="1"/>
  <c r="E150" i="52" s="1"/>
  <c r="V150" i="52" s="1"/>
  <c r="P134" i="52"/>
  <c r="E151" i="52" s="1"/>
  <c r="P135" i="52"/>
  <c r="E152" i="52" s="1"/>
  <c r="P157" i="52"/>
  <c r="E215" i="52" s="1"/>
  <c r="R215" i="52" s="1"/>
  <c r="B159" i="52"/>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AA172"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AB172"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O196" i="52"/>
  <c r="T196" i="52"/>
  <c r="BA196" i="52" s="1"/>
  <c r="AA196" i="52"/>
  <c r="BI196" i="52"/>
  <c r="AH196" i="52"/>
  <c r="S197" i="52"/>
  <c r="AZ197" i="52" s="1"/>
  <c r="AA197" i="52"/>
  <c r="BI197" i="52" s="1"/>
  <c r="S198" i="52"/>
  <c r="AA198" i="52"/>
  <c r="BI198" i="52" s="1"/>
  <c r="H202" i="52"/>
  <c r="S202" i="52"/>
  <c r="H203" i="52"/>
  <c r="S203" i="52"/>
  <c r="H204" i="52"/>
  <c r="S204" i="52"/>
  <c r="T206" i="52"/>
  <c r="P206" i="52" s="1"/>
  <c r="E225" i="52" s="1"/>
  <c r="T207" i="52"/>
  <c r="P207" i="52" s="1"/>
  <c r="E226" i="52" s="1"/>
  <c r="T208" i="52"/>
  <c r="P208" i="52" s="1"/>
  <c r="E227" i="52" s="1"/>
  <c r="P210" i="52"/>
  <c r="E228" i="52" s="1"/>
  <c r="P211" i="52"/>
  <c r="E229" i="52"/>
  <c r="P234" i="52"/>
  <c r="B236" i="52" s="1"/>
  <c r="R237" i="52"/>
  <c r="K244" i="52"/>
  <c r="T244" i="52"/>
  <c r="BD38" i="55" s="1"/>
  <c r="BE38" i="55" s="1"/>
  <c r="BF38" i="55" s="1"/>
  <c r="E244" i="52" s="1"/>
  <c r="U244" i="52"/>
  <c r="I245" i="52"/>
  <c r="K245" i="52"/>
  <c r="T245" i="52"/>
  <c r="W245" i="52" s="1"/>
  <c r="U245" i="52"/>
  <c r="X245" i="52" s="1"/>
  <c r="G246" i="52"/>
  <c r="T246" i="52"/>
  <c r="BD40" i="55" s="1"/>
  <c r="BE40" i="55" s="1"/>
  <c r="BF40" i="55" s="1"/>
  <c r="E246" i="52" s="1"/>
  <c r="AA248" i="52" s="1"/>
  <c r="K248" i="52"/>
  <c r="T248" i="52"/>
  <c r="BD42" i="55" s="1"/>
  <c r="BE42" i="55" s="1"/>
  <c r="BF42" i="55" s="1"/>
  <c r="E248" i="52" s="1"/>
  <c r="U248" i="52"/>
  <c r="I249" i="52"/>
  <c r="K249" i="52"/>
  <c r="T249" i="52"/>
  <c r="U249" i="52"/>
  <c r="X249" i="52" s="1"/>
  <c r="G250" i="52"/>
  <c r="T250" i="52"/>
  <c r="BD44" i="55" s="1"/>
  <c r="BE44" i="55" s="1"/>
  <c r="BF44" i="55" s="1"/>
  <c r="E250" i="52" s="1"/>
  <c r="AB248" i="52" s="1"/>
  <c r="K252" i="52"/>
  <c r="T252" i="52"/>
  <c r="BD46" i="55" s="1"/>
  <c r="BE46" i="55" s="1"/>
  <c r="BF46" i="55" s="1"/>
  <c r="E252" i="52" s="1"/>
  <c r="U252" i="52"/>
  <c r="K253" i="52"/>
  <c r="T253" i="52"/>
  <c r="Y253" i="52" s="1"/>
  <c r="V253" i="52" s="1"/>
  <c r="BI47" i="55" s="1"/>
  <c r="BJ47" i="55" s="1"/>
  <c r="BK47" i="55" s="1"/>
  <c r="I253" i="52" s="1"/>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AU274" i="52"/>
  <c r="H278" i="52"/>
  <c r="S278" i="52"/>
  <c r="H279" i="52"/>
  <c r="S279" i="52"/>
  <c r="H280" i="52"/>
  <c r="S280" i="52"/>
  <c r="T282" i="52"/>
  <c r="P282" i="52" s="1"/>
  <c r="E300" i="52" s="1"/>
  <c r="T283" i="52"/>
  <c r="P283" i="52" s="1"/>
  <c r="E301" i="52" s="1"/>
  <c r="V301" i="52" s="1"/>
  <c r="T284" i="52"/>
  <c r="P284" i="52"/>
  <c r="E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AA323" i="52" s="1"/>
  <c r="K323" i="52"/>
  <c r="T323" i="52"/>
  <c r="U323" i="52"/>
  <c r="I324" i="52"/>
  <c r="K324" i="52"/>
  <c r="T324" i="52"/>
  <c r="Y324" i="52" s="1"/>
  <c r="V324" i="52" s="1"/>
  <c r="BI56" i="55" s="1"/>
  <c r="BJ56" i="55" s="1"/>
  <c r="BK56" i="55" s="1"/>
  <c r="U324" i="52"/>
  <c r="X324" i="52" s="1"/>
  <c r="G325" i="52"/>
  <c r="T325" i="52"/>
  <c r="BD57" i="55" s="1"/>
  <c r="BE57" i="55" s="1"/>
  <c r="BF57" i="55" s="1"/>
  <c r="E325" i="52" s="1"/>
  <c r="AB323"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T336" i="52"/>
  <c r="P336" i="52" s="1"/>
  <c r="E371" i="52" s="1"/>
  <c r="S342" i="52"/>
  <c r="AA342" i="52"/>
  <c r="BI342" i="52" s="1"/>
  <c r="S343" i="52"/>
  <c r="AA343" i="52"/>
  <c r="BI343" i="52"/>
  <c r="S344" i="52"/>
  <c r="AO344" i="52" s="1"/>
  <c r="AA344" i="52"/>
  <c r="BI344" i="52"/>
  <c r="AH344" i="52"/>
  <c r="BG344" i="52"/>
  <c r="S347" i="52"/>
  <c r="AA347" i="52"/>
  <c r="BI347" i="52"/>
  <c r="S348" i="52"/>
  <c r="AH348" i="52" s="1"/>
  <c r="AA348" i="52"/>
  <c r="S349" i="52"/>
  <c r="AA349" i="52"/>
  <c r="BI349" i="52" s="1"/>
  <c r="H353" i="52"/>
  <c r="S353" i="52"/>
  <c r="H354" i="52"/>
  <c r="S354" i="52"/>
  <c r="H355" i="52"/>
  <c r="S355" i="52"/>
  <c r="T357" i="52"/>
  <c r="P357" i="52" s="1"/>
  <c r="E375" i="52" s="1"/>
  <c r="T358" i="52"/>
  <c r="P358" i="52" s="1"/>
  <c r="E376" i="52" s="1"/>
  <c r="T359" i="52"/>
  <c r="P359" i="52" s="1"/>
  <c r="E377" i="52" s="1"/>
  <c r="V377" i="52" s="1"/>
  <c r="P361" i="52"/>
  <c r="E378" i="52" s="1"/>
  <c r="P362" i="52"/>
  <c r="E379" i="52" s="1"/>
  <c r="P385" i="52"/>
  <c r="S386" i="52"/>
  <c r="P386" i="52" s="1"/>
  <c r="E529" i="52" s="1"/>
  <c r="AM530" i="52" s="1"/>
  <c r="S387" i="52"/>
  <c r="S388" i="52"/>
  <c r="S389" i="52"/>
  <c r="P389" i="52" s="1"/>
  <c r="E532" i="52" s="1"/>
  <c r="AP530" i="52" s="1"/>
  <c r="S390" i="52"/>
  <c r="P390" i="52" s="1"/>
  <c r="E533" i="52" s="1"/>
  <c r="AQ530" i="52" s="1"/>
  <c r="I394" i="52"/>
  <c r="K394" i="52"/>
  <c r="T394" i="52"/>
  <c r="BD64" i="55" s="1"/>
  <c r="BE64" i="55" s="1"/>
  <c r="BF64" i="55" s="1"/>
  <c r="E394" i="52" s="1"/>
  <c r="U394" i="52"/>
  <c r="I395" i="52"/>
  <c r="K395" i="52"/>
  <c r="T395" i="52"/>
  <c r="U395" i="52"/>
  <c r="T396" i="52"/>
  <c r="BD66" i="55" s="1"/>
  <c r="BE66" i="55" s="1"/>
  <c r="BF66" i="55" s="1"/>
  <c r="V397" i="52"/>
  <c r="W397" i="52"/>
  <c r="X397" i="52"/>
  <c r="Y397" i="52"/>
  <c r="T397" i="52"/>
  <c r="BD67" i="55" s="1"/>
  <c r="BE67" i="55" s="1"/>
  <c r="BF67" i="55" s="1"/>
  <c r="I400" i="52"/>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0" i="52" s="1"/>
  <c r="AX530" i="52" s="1"/>
  <c r="T423" i="52"/>
  <c r="P423" i="52" s="1"/>
  <c r="E541" i="52" s="1"/>
  <c r="AY530" i="52" s="1"/>
  <c r="E542" i="52"/>
  <c r="AZ530" i="52" s="1"/>
  <c r="H427" i="52"/>
  <c r="C543" i="52" s="1"/>
  <c r="BA530" i="52" s="1"/>
  <c r="K427" i="52"/>
  <c r="D543" i="52" s="1"/>
  <c r="M427" i="52"/>
  <c r="E543" i="52" s="1"/>
  <c r="BC530" i="52" s="1"/>
  <c r="O427" i="52"/>
  <c r="F543" i="52" s="1"/>
  <c r="BD530" i="52" s="1"/>
  <c r="P427" i="52"/>
  <c r="H428" i="52"/>
  <c r="C544" i="52" s="1"/>
  <c r="BE530" i="52" s="1"/>
  <c r="K428" i="52"/>
  <c r="M428" i="52"/>
  <c r="E544" i="52" s="1"/>
  <c r="BG530" i="52" s="1"/>
  <c r="O428" i="52"/>
  <c r="F544" i="52" s="1"/>
  <c r="BH530" i="52" s="1"/>
  <c r="H429" i="52"/>
  <c r="C545" i="52" s="1"/>
  <c r="BI530" i="52" s="1"/>
  <c r="K429" i="52"/>
  <c r="M429" i="52"/>
  <c r="E545" i="52" s="1"/>
  <c r="BK530" i="52" s="1"/>
  <c r="O429" i="52"/>
  <c r="F545" i="52" s="1"/>
  <c r="BL530" i="52" s="1"/>
  <c r="H430" i="52"/>
  <c r="C546" i="52" s="1"/>
  <c r="BM530" i="52" s="1"/>
  <c r="K430" i="52"/>
  <c r="M430" i="52"/>
  <c r="O430" i="52"/>
  <c r="F546" i="52" s="1"/>
  <c r="BP530" i="52" s="1"/>
  <c r="P432" i="52"/>
  <c r="O434" i="52"/>
  <c r="O435" i="52"/>
  <c r="P436" i="52" s="1"/>
  <c r="E549" i="52" s="1"/>
  <c r="Y549" i="52" s="1"/>
  <c r="O438" i="52"/>
  <c r="O439" i="52"/>
  <c r="S446" i="52"/>
  <c r="L446" i="52" s="1"/>
  <c r="T446" i="52"/>
  <c r="U446" i="52"/>
  <c r="S447" i="52"/>
  <c r="L447" i="52" s="1"/>
  <c r="T447" i="52"/>
  <c r="U447" i="52"/>
  <c r="S448" i="52"/>
  <c r="L448" i="52" s="1"/>
  <c r="T448" i="52"/>
  <c r="U448" i="52"/>
  <c r="S449" i="52"/>
  <c r="L449" i="52"/>
  <c r="T449" i="52"/>
  <c r="U449" i="52"/>
  <c r="S450" i="52"/>
  <c r="L450" i="52" s="1"/>
  <c r="P450" i="52" s="1"/>
  <c r="AE450" i="52" s="1"/>
  <c r="AF450" i="52" s="1"/>
  <c r="T450" i="52"/>
  <c r="U450" i="52"/>
  <c r="S454" i="52"/>
  <c r="F456" i="52" s="1"/>
  <c r="T454" i="52"/>
  <c r="U454" i="52"/>
  <c r="S455" i="52"/>
  <c r="T455" i="52"/>
  <c r="U455" i="52"/>
  <c r="S456" i="52"/>
  <c r="T456" i="52"/>
  <c r="U456" i="52"/>
  <c r="S457" i="52"/>
  <c r="T457" i="52"/>
  <c r="U457" i="52"/>
  <c r="F460" i="52"/>
  <c r="S460" i="52"/>
  <c r="F463" i="52" s="1"/>
  <c r="T460" i="52"/>
  <c r="U460" i="52"/>
  <c r="S461" i="52"/>
  <c r="T461" i="52"/>
  <c r="U461" i="52"/>
  <c r="S462" i="52"/>
  <c r="T462" i="52"/>
  <c r="U462" i="52"/>
  <c r="S463" i="52"/>
  <c r="T463" i="52"/>
  <c r="U463" i="52"/>
  <c r="S464" i="52"/>
  <c r="T464" i="52"/>
  <c r="U464" i="52"/>
  <c r="F467" i="52"/>
  <c r="S467" i="52"/>
  <c r="F475" i="52" s="1"/>
  <c r="T467" i="52"/>
  <c r="U467" i="52"/>
  <c r="S468" i="52"/>
  <c r="T468" i="52"/>
  <c r="U468" i="52"/>
  <c r="S469" i="52"/>
  <c r="T469" i="52"/>
  <c r="U469" i="52"/>
  <c r="S470" i="52"/>
  <c r="T470" i="52"/>
  <c r="U470" i="52"/>
  <c r="S471" i="52"/>
  <c r="T471" i="52"/>
  <c r="U471" i="52"/>
  <c r="S472" i="52"/>
  <c r="T472" i="52"/>
  <c r="U472" i="52"/>
  <c r="S473" i="52"/>
  <c r="T473" i="52"/>
  <c r="U473" i="52"/>
  <c r="S474" i="52"/>
  <c r="T474" i="52"/>
  <c r="U474" i="52"/>
  <c r="S475" i="52"/>
  <c r="T475" i="52"/>
  <c r="U475" i="52"/>
  <c r="S476" i="52"/>
  <c r="T476" i="52"/>
  <c r="U476" i="52"/>
  <c r="F479" i="52"/>
  <c r="S479" i="52"/>
  <c r="L479" i="52" s="1"/>
  <c r="T479" i="52"/>
  <c r="U479" i="52"/>
  <c r="S480" i="52"/>
  <c r="T480" i="52"/>
  <c r="U480" i="52"/>
  <c r="S481" i="52"/>
  <c r="T481" i="52"/>
  <c r="U481" i="52"/>
  <c r="S482" i="52"/>
  <c r="T482" i="52"/>
  <c r="U482" i="52"/>
  <c r="S483" i="52"/>
  <c r="T483" i="52"/>
  <c r="U483" i="52"/>
  <c r="S484" i="52"/>
  <c r="T484" i="52"/>
  <c r="U484" i="52"/>
  <c r="S485" i="52"/>
  <c r="T485" i="52"/>
  <c r="U485" i="52"/>
  <c r="S486" i="52"/>
  <c r="T486" i="52"/>
  <c r="U486" i="52"/>
  <c r="F487" i="52"/>
  <c r="S487" i="52"/>
  <c r="L487" i="52" s="1"/>
  <c r="T487" i="52"/>
  <c r="U487" i="52"/>
  <c r="S488" i="52"/>
  <c r="T488" i="52"/>
  <c r="U488" i="52"/>
  <c r="S489" i="52"/>
  <c r="T489" i="52"/>
  <c r="U489" i="52"/>
  <c r="S490" i="52"/>
  <c r="T490" i="52"/>
  <c r="U490" i="52"/>
  <c r="S491" i="52"/>
  <c r="T491" i="52"/>
  <c r="U491" i="52"/>
  <c r="F495" i="52"/>
  <c r="S495" i="52"/>
  <c r="F502" i="52" s="1"/>
  <c r="T495" i="52"/>
  <c r="U495" i="52"/>
  <c r="S496" i="52"/>
  <c r="T496" i="52"/>
  <c r="U496" i="52"/>
  <c r="S497" i="52"/>
  <c r="T497" i="52"/>
  <c r="U497" i="52"/>
  <c r="S498" i="52"/>
  <c r="T498" i="52"/>
  <c r="U498" i="52"/>
  <c r="S499" i="52"/>
  <c r="T499" i="52"/>
  <c r="U499" i="52"/>
  <c r="S500" i="52"/>
  <c r="T500" i="52"/>
  <c r="U500" i="52"/>
  <c r="S501" i="52"/>
  <c r="T501" i="52"/>
  <c r="U501" i="52"/>
  <c r="S502" i="52"/>
  <c r="T502" i="52"/>
  <c r="U502" i="52"/>
  <c r="S503" i="52"/>
  <c r="T503" i="52"/>
  <c r="U503" i="52"/>
  <c r="S504" i="52"/>
  <c r="T504" i="52"/>
  <c r="U504" i="52"/>
  <c r="S505" i="52"/>
  <c r="T505" i="52"/>
  <c r="U505" i="52"/>
  <c r="P514" i="52"/>
  <c r="E528" i="52"/>
  <c r="AL530" i="52" s="1"/>
  <c r="D544" i="52"/>
  <c r="BF530" i="52" s="1"/>
  <c r="D545" i="52"/>
  <c r="BJ530" i="52" s="1"/>
  <c r="D546" i="52"/>
  <c r="BN530" i="52" s="1"/>
  <c r="E546" i="52"/>
  <c r="BO530" i="52" s="1"/>
  <c r="E547" i="52"/>
  <c r="BQ530" i="52" s="1"/>
  <c r="E548" i="52"/>
  <c r="BR530" i="52" s="1"/>
  <c r="P558" i="52"/>
  <c r="E595" i="52" s="1"/>
  <c r="K562" i="52"/>
  <c r="T562" i="52"/>
  <c r="BD80" i="55" s="1"/>
  <c r="BE80" i="55" s="1"/>
  <c r="BF80" i="55" s="1"/>
  <c r="E562" i="52" s="1"/>
  <c r="U562" i="52"/>
  <c r="T563" i="52"/>
  <c r="BD81" i="55" s="1"/>
  <c r="BE81" i="55" s="1"/>
  <c r="BF81" i="55" s="1"/>
  <c r="I564" i="52"/>
  <c r="K564" i="52"/>
  <c r="T564" i="52"/>
  <c r="U564" i="52"/>
  <c r="X564" i="52" s="1"/>
  <c r="T565" i="52"/>
  <c r="BD83" i="55" s="1"/>
  <c r="BE83" i="55" s="1"/>
  <c r="BF83" i="55" s="1"/>
  <c r="I566" i="52"/>
  <c r="K566" i="52"/>
  <c r="T566" i="52"/>
  <c r="Y566" i="52" s="1"/>
  <c r="V566" i="52" s="1"/>
  <c r="BI84" i="55" s="1"/>
  <c r="BJ84" i="55" s="1"/>
  <c r="BK84" i="55" s="1"/>
  <c r="U566" i="52"/>
  <c r="T567" i="52"/>
  <c r="BD85" i="55" s="1"/>
  <c r="BE85" i="55" s="1"/>
  <c r="BF85" i="55" s="1"/>
  <c r="I568" i="52"/>
  <c r="K568" i="52"/>
  <c r="T568" i="52"/>
  <c r="BD86" i="55" s="1"/>
  <c r="BE86" i="55" s="1"/>
  <c r="BF86" i="55" s="1"/>
  <c r="E568" i="52" s="1"/>
  <c r="U568" i="52"/>
  <c r="T569" i="52"/>
  <c r="BD87" i="55" s="1"/>
  <c r="BE87" i="55" s="1"/>
  <c r="BF87" i="55" s="1"/>
  <c r="V570" i="52"/>
  <c r="W570" i="52"/>
  <c r="X570" i="52"/>
  <c r="Y570" i="52"/>
  <c r="Z570" i="52"/>
  <c r="AA570" i="52"/>
  <c r="AB570" i="52"/>
  <c r="AC570" i="52"/>
  <c r="E597" i="52"/>
  <c r="R597" i="52" s="1"/>
  <c r="E598" i="52"/>
  <c r="R598" i="52" s="1"/>
  <c r="T577" i="52"/>
  <c r="P577" i="52" s="1"/>
  <c r="E599" i="52" s="1"/>
  <c r="R599" i="52" s="1"/>
  <c r="P579" i="52"/>
  <c r="E600" i="52" s="1"/>
  <c r="R600" i="52" s="1"/>
  <c r="P580" i="52"/>
  <c r="E601" i="52" s="1"/>
  <c r="R601" i="52" s="1"/>
  <c r="P581" i="52"/>
  <c r="E602" i="52" s="1"/>
  <c r="R602" i="52" s="1"/>
  <c r="P583" i="52"/>
  <c r="E603" i="52" s="1"/>
  <c r="Y603" i="52" s="1"/>
  <c r="P584" i="52"/>
  <c r="E604" i="52" s="1"/>
  <c r="Y604" i="52" s="1"/>
  <c r="P588" i="52"/>
  <c r="P592" i="52"/>
  <c r="E607" i="52" s="1"/>
  <c r="Y607" i="52" s="1"/>
  <c r="C626" i="52"/>
  <c r="F626" i="52" s="1"/>
  <c r="D1" i="54"/>
  <c r="M1" i="54"/>
  <c r="R2" i="54"/>
  <c r="S1" i="54" s="1"/>
  <c r="C638" i="54" s="1"/>
  <c r="P6" i="54"/>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C34" i="54"/>
  <c r="X34" i="54"/>
  <c r="AL35" i="54"/>
  <c r="X35" i="54"/>
  <c r="X38" i="54"/>
  <c r="X39" i="54"/>
  <c r="X40" i="54"/>
  <c r="T44" i="54"/>
  <c r="P44" i="54" s="1"/>
  <c r="E69" i="54" s="1"/>
  <c r="T45" i="54"/>
  <c r="P45" i="54" s="1"/>
  <c r="E70" i="54" s="1"/>
  <c r="T46" i="54"/>
  <c r="P46" i="54" s="1"/>
  <c r="E71" i="54" s="1"/>
  <c r="T47" i="54"/>
  <c r="P47" i="54" s="1"/>
  <c r="E72" i="54" s="1"/>
  <c r="H51" i="54"/>
  <c r="S51" i="54"/>
  <c r="H52" i="54"/>
  <c r="S52" i="54"/>
  <c r="T54" i="54"/>
  <c r="P54" i="54" s="1"/>
  <c r="E74" i="54" s="1"/>
  <c r="T55" i="54"/>
  <c r="P55" i="54" s="1"/>
  <c r="E75" i="54" s="1"/>
  <c r="P57" i="54"/>
  <c r="E76" i="54" s="1"/>
  <c r="P58" i="54"/>
  <c r="E77" i="54" s="1"/>
  <c r="P81" i="54"/>
  <c r="E138" i="54" s="1"/>
  <c r="R84" i="54"/>
  <c r="K91" i="54"/>
  <c r="T91" i="54"/>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U99" i="54"/>
  <c r="K100" i="54"/>
  <c r="T100" i="54"/>
  <c r="W100" i="54" s="1"/>
  <c r="U100" i="54"/>
  <c r="X100" i="54" s="1"/>
  <c r="G101" i="54"/>
  <c r="T101" i="54"/>
  <c r="AT22" i="55" s="1"/>
  <c r="AU22" i="55" s="1"/>
  <c r="AV22" i="55" s="1"/>
  <c r="E101" i="54" s="1"/>
  <c r="T106" i="54"/>
  <c r="P106" i="54" s="1"/>
  <c r="E141" i="54" s="1"/>
  <c r="T107" i="54"/>
  <c r="P107" i="54" s="1"/>
  <c r="E142" i="54" s="1"/>
  <c r="T108" i="54"/>
  <c r="P108" i="54" s="1"/>
  <c r="E143" i="54" s="1"/>
  <c r="T109" i="54"/>
  <c r="P109" i="54" s="1"/>
  <c r="E144" i="54" s="1"/>
  <c r="S115" i="54"/>
  <c r="AZ115" i="54" s="1"/>
  <c r="AA115" i="54"/>
  <c r="S116" i="54"/>
  <c r="AU116" i="54" s="1"/>
  <c r="AA116" i="54"/>
  <c r="BI116" i="54" s="1"/>
  <c r="S117" i="54"/>
  <c r="AH117" i="54" s="1"/>
  <c r="AA117" i="54"/>
  <c r="BI117" i="54" s="1"/>
  <c r="AZ117" i="54"/>
  <c r="BD117" i="54"/>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R148" i="54" s="1"/>
  <c r="T131" i="54"/>
  <c r="P131" i="54" s="1"/>
  <c r="E149" i="54" s="1"/>
  <c r="T132" i="54"/>
  <c r="P132" i="54" s="1"/>
  <c r="E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AA172" i="54" s="1"/>
  <c r="K172" i="54"/>
  <c r="T172" i="54"/>
  <c r="AT29" i="55" s="1"/>
  <c r="AU29" i="55" s="1"/>
  <c r="AV29" i="55" s="1"/>
  <c r="E172" i="54" s="1"/>
  <c r="U172" i="54"/>
  <c r="Y172" i="54" s="1"/>
  <c r="V172" i="54" s="1"/>
  <c r="AY29" i="55" s="1"/>
  <c r="AZ29" i="55" s="1"/>
  <c r="BA29" i="55" s="1"/>
  <c r="I172" i="54"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Y218" i="54" s="1"/>
  <c r="T183" i="54"/>
  <c r="P183" i="54" s="1"/>
  <c r="E219" i="54" s="1"/>
  <c r="T184" i="54"/>
  <c r="P184" i="54" s="1"/>
  <c r="E220" i="54" s="1"/>
  <c r="T185" i="54"/>
  <c r="P185" i="54" s="1"/>
  <c r="E221" i="54" s="1"/>
  <c r="BI193" i="54"/>
  <c r="AO197" i="54"/>
  <c r="AH197" i="54"/>
  <c r="AZ197" i="54"/>
  <c r="BD197" i="54"/>
  <c r="H202" i="54"/>
  <c r="S202" i="54"/>
  <c r="H203" i="54"/>
  <c r="S203" i="54"/>
  <c r="O203" i="54" s="1"/>
  <c r="H204" i="54"/>
  <c r="S204" i="54"/>
  <c r="O204" i="54" s="1"/>
  <c r="T206" i="54"/>
  <c r="P206" i="54" s="1"/>
  <c r="E225" i="54" s="1"/>
  <c r="T207" i="54"/>
  <c r="P207" i="54" s="1"/>
  <c r="E226" i="54" s="1"/>
  <c r="R226" i="54" s="1"/>
  <c r="T208" i="54"/>
  <c r="P208" i="54" s="1"/>
  <c r="E227" i="54" s="1"/>
  <c r="R227" i="54" s="1"/>
  <c r="P210" i="54"/>
  <c r="E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AB248" i="54" s="1"/>
  <c r="K252" i="54"/>
  <c r="U252" i="54"/>
  <c r="K253" i="54"/>
  <c r="U253" i="54"/>
  <c r="X253" i="54" s="1"/>
  <c r="G254" i="54"/>
  <c r="AT48" i="55"/>
  <c r="AU48" i="55" s="1"/>
  <c r="AV48" i="55" s="1"/>
  <c r="E254" i="54" s="1"/>
  <c r="T258" i="54"/>
  <c r="P258" i="54" s="1"/>
  <c r="E293" i="54" s="1"/>
  <c r="T259" i="54"/>
  <c r="P259" i="54" s="1"/>
  <c r="E294" i="54" s="1"/>
  <c r="Y294" i="54" s="1"/>
  <c r="T260" i="54"/>
  <c r="P260" i="54"/>
  <c r="E295" i="54" s="1"/>
  <c r="T261" i="54"/>
  <c r="P261" i="54" s="1"/>
  <c r="E296" i="54" s="1"/>
  <c r="AH267" i="54"/>
  <c r="AO267" i="54"/>
  <c r="BD267" i="54"/>
  <c r="BD268" i="54"/>
  <c r="BI268" i="54"/>
  <c r="AO268" i="54"/>
  <c r="AU268" i="54"/>
  <c r="AU269" i="54"/>
  <c r="BG274" i="54"/>
  <c r="H278" i="54"/>
  <c r="S278" i="54"/>
  <c r="O278" i="54" s="1"/>
  <c r="H279" i="54"/>
  <c r="S279" i="54"/>
  <c r="H280" i="54"/>
  <c r="S280" i="54"/>
  <c r="O280" i="54" s="1"/>
  <c r="T282" i="54"/>
  <c r="P282" i="54" s="1"/>
  <c r="E300" i="54" s="1"/>
  <c r="T283" i="54"/>
  <c r="P283" i="54"/>
  <c r="E301" i="54" s="1"/>
  <c r="T284" i="54"/>
  <c r="P284" i="54" s="1"/>
  <c r="E302" i="54" s="1"/>
  <c r="V302" i="54" s="1"/>
  <c r="P286" i="54"/>
  <c r="E303" i="54" s="1"/>
  <c r="P287" i="54"/>
  <c r="E304" i="54" s="1"/>
  <c r="P309" i="54"/>
  <c r="E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T334" i="54"/>
  <c r="P334" i="54" s="1"/>
  <c r="E369" i="54" s="1"/>
  <c r="T335" i="54"/>
  <c r="P335" i="54" s="1"/>
  <c r="E370" i="54" s="1"/>
  <c r="T336" i="54"/>
  <c r="P336" i="54" s="1"/>
  <c r="E371" i="54" s="1"/>
  <c r="BG343" i="54"/>
  <c r="BI349" i="54"/>
  <c r="AH349" i="54"/>
  <c r="AZ349" i="54"/>
  <c r="BD349" i="54"/>
  <c r="BG349" i="54"/>
  <c r="H353" i="54"/>
  <c r="S353" i="54"/>
  <c r="O353" i="54" s="1"/>
  <c r="H354" i="54"/>
  <c r="S354" i="54"/>
  <c r="H355" i="54"/>
  <c r="S355" i="54"/>
  <c r="T357" i="54"/>
  <c r="P357" i="54" s="1"/>
  <c r="E375" i="54" s="1"/>
  <c r="T358" i="54"/>
  <c r="P358" i="54" s="1"/>
  <c r="E376" i="54" s="1"/>
  <c r="R376" i="54" s="1"/>
  <c r="T359" i="54"/>
  <c r="P359" i="54" s="1"/>
  <c r="E377" i="54" s="1"/>
  <c r="V377" i="54" s="1"/>
  <c r="P361" i="54"/>
  <c r="E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0" i="54" s="1"/>
  <c r="AX530" i="54" s="1"/>
  <c r="T423" i="54"/>
  <c r="P423" i="54" s="1"/>
  <c r="E541" i="54" s="1"/>
  <c r="AY530" i="54" s="1"/>
  <c r="E542" i="54"/>
  <c r="AZ530" i="54" s="1"/>
  <c r="H427" i="54"/>
  <c r="K427" i="54"/>
  <c r="D543" i="54" s="1"/>
  <c r="BB530" i="54" s="1"/>
  <c r="M427" i="54"/>
  <c r="E543" i="54" s="1"/>
  <c r="BC530" i="54" s="1"/>
  <c r="O427" i="54"/>
  <c r="F543" i="54" s="1"/>
  <c r="BD530" i="54" s="1"/>
  <c r="P427" i="54"/>
  <c r="H428" i="54"/>
  <c r="C544" i="54" s="1"/>
  <c r="BE530" i="54" s="1"/>
  <c r="K428" i="54"/>
  <c r="D544" i="54" s="1"/>
  <c r="BF530" i="54" s="1"/>
  <c r="M428" i="54"/>
  <c r="E544" i="54" s="1"/>
  <c r="BG530" i="54" s="1"/>
  <c r="O428" i="54"/>
  <c r="H429" i="54"/>
  <c r="K429" i="54"/>
  <c r="D545" i="54" s="1"/>
  <c r="BJ530" i="54" s="1"/>
  <c r="M429" i="54"/>
  <c r="E545" i="54" s="1"/>
  <c r="BK530" i="54" s="1"/>
  <c r="O429" i="54"/>
  <c r="F545" i="54" s="1"/>
  <c r="BL530" i="54" s="1"/>
  <c r="H430" i="54"/>
  <c r="C546" i="54" s="1"/>
  <c r="BM530" i="54" s="1"/>
  <c r="K430" i="54"/>
  <c r="D546" i="54" s="1"/>
  <c r="BN530" i="54" s="1"/>
  <c r="M430" i="54"/>
  <c r="E546" i="54" s="1"/>
  <c r="BO530" i="54" s="1"/>
  <c r="O430" i="54"/>
  <c r="E547" i="54"/>
  <c r="BQ530" i="54" s="1"/>
  <c r="E548" i="54"/>
  <c r="BR530" i="54" s="1"/>
  <c r="O434" i="54"/>
  <c r="O435" i="54"/>
  <c r="O438" i="54"/>
  <c r="O439" i="54"/>
  <c r="S446" i="54"/>
  <c r="L446" i="54" s="1"/>
  <c r="T446" i="54"/>
  <c r="U446" i="54"/>
  <c r="S447" i="54"/>
  <c r="L447" i="54" s="1"/>
  <c r="T447" i="54"/>
  <c r="U447" i="54"/>
  <c r="S448" i="54"/>
  <c r="L448" i="54" s="1"/>
  <c r="T448" i="54"/>
  <c r="U448" i="54"/>
  <c r="S449" i="54"/>
  <c r="L449" i="54" s="1"/>
  <c r="T449" i="54"/>
  <c r="U449" i="54"/>
  <c r="S450" i="54"/>
  <c r="L450" i="54" s="1"/>
  <c r="P450" i="54" s="1"/>
  <c r="AE450" i="54" s="1"/>
  <c r="AF450" i="54" s="1"/>
  <c r="T450" i="54"/>
  <c r="U450" i="54"/>
  <c r="S454" i="54"/>
  <c r="F455" i="54" s="1"/>
  <c r="F456" i="54"/>
  <c r="T454" i="54"/>
  <c r="U454" i="54"/>
  <c r="S455" i="54"/>
  <c r="T455" i="54"/>
  <c r="U455" i="54"/>
  <c r="S456" i="54"/>
  <c r="T456" i="54"/>
  <c r="U456" i="54"/>
  <c r="S457" i="54"/>
  <c r="T457" i="54"/>
  <c r="U457" i="54"/>
  <c r="F460" i="54"/>
  <c r="S460" i="54"/>
  <c r="T460" i="54"/>
  <c r="U460" i="54"/>
  <c r="S461" i="54"/>
  <c r="T461" i="54"/>
  <c r="U461" i="54"/>
  <c r="S462" i="54"/>
  <c r="T462" i="54"/>
  <c r="U462" i="54"/>
  <c r="S463" i="54"/>
  <c r="T463" i="54"/>
  <c r="U463" i="54"/>
  <c r="S464" i="54"/>
  <c r="T464" i="54"/>
  <c r="U464" i="54"/>
  <c r="F467" i="54"/>
  <c r="S467" i="54"/>
  <c r="F472" i="54" s="1"/>
  <c r="T467" i="54"/>
  <c r="U467" i="54"/>
  <c r="S468" i="54"/>
  <c r="T468" i="54"/>
  <c r="U468" i="54"/>
  <c r="S469" i="54"/>
  <c r="T469" i="54"/>
  <c r="U469" i="54"/>
  <c r="S470" i="54"/>
  <c r="T470" i="54"/>
  <c r="U470" i="54"/>
  <c r="F471" i="54"/>
  <c r="S471" i="54"/>
  <c r="T471" i="54"/>
  <c r="U471" i="54"/>
  <c r="S472" i="54"/>
  <c r="T472" i="54"/>
  <c r="U472" i="54"/>
  <c r="S473" i="54"/>
  <c r="T473" i="54"/>
  <c r="U473" i="54"/>
  <c r="S474" i="54"/>
  <c r="T474" i="54"/>
  <c r="U474" i="54"/>
  <c r="F475" i="54"/>
  <c r="S475" i="54"/>
  <c r="T475" i="54"/>
  <c r="U475" i="54"/>
  <c r="S476" i="54"/>
  <c r="T476" i="54"/>
  <c r="U476" i="54"/>
  <c r="F479" i="54"/>
  <c r="S479" i="54"/>
  <c r="T479" i="54"/>
  <c r="U479" i="54"/>
  <c r="S480" i="54"/>
  <c r="T480" i="54"/>
  <c r="U480" i="54"/>
  <c r="S481" i="54"/>
  <c r="T481" i="54"/>
  <c r="U481" i="54"/>
  <c r="S482" i="54"/>
  <c r="T482" i="54"/>
  <c r="U482"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F495" i="54"/>
  <c r="S495" i="54"/>
  <c r="T495" i="54"/>
  <c r="U495" i="54"/>
  <c r="S496" i="54"/>
  <c r="T496" i="54"/>
  <c r="U496" i="54"/>
  <c r="S497" i="54"/>
  <c r="T497" i="54"/>
  <c r="U497" i="54"/>
  <c r="S498" i="54"/>
  <c r="T498" i="54"/>
  <c r="U498" i="54"/>
  <c r="S499" i="54"/>
  <c r="T499" i="54"/>
  <c r="U499" i="54"/>
  <c r="S500" i="54"/>
  <c r="T500" i="54"/>
  <c r="U500" i="54"/>
  <c r="S501" i="54"/>
  <c r="T501" i="54"/>
  <c r="U501" i="54"/>
  <c r="S502" i="54"/>
  <c r="T502" i="54"/>
  <c r="U502" i="54"/>
  <c r="S503" i="54"/>
  <c r="T503" i="54"/>
  <c r="U503" i="54"/>
  <c r="S504" i="54"/>
  <c r="T504" i="54"/>
  <c r="U504" i="54"/>
  <c r="S505" i="54"/>
  <c r="T505" i="54"/>
  <c r="U505" i="54"/>
  <c r="P514" i="54"/>
  <c r="C543" i="54"/>
  <c r="BA530" i="54" s="1"/>
  <c r="F544" i="54"/>
  <c r="BH530" i="54" s="1"/>
  <c r="C545" i="54"/>
  <c r="BI530" i="54" s="1"/>
  <c r="F546" i="54"/>
  <c r="BP530" i="54" s="1"/>
  <c r="P558" i="54"/>
  <c r="E595" i="54" s="1"/>
  <c r="K562" i="54"/>
  <c r="T562" i="54"/>
  <c r="AT80" i="55" s="1"/>
  <c r="AU80" i="55" s="1"/>
  <c r="AV80" i="55" s="1"/>
  <c r="E562" i="54" s="1"/>
  <c r="U562" i="54"/>
  <c r="T563" i="54"/>
  <c r="AT81" i="55" s="1"/>
  <c r="AU81" i="55" s="1"/>
  <c r="AV81" i="55" s="1"/>
  <c r="K564" i="54"/>
  <c r="T564" i="54"/>
  <c r="Y564" i="54" s="1"/>
  <c r="V564" i="54" s="1"/>
  <c r="AY82" i="55" s="1"/>
  <c r="AZ82" i="55" s="1"/>
  <c r="BA82" i="55" s="1"/>
  <c r="I564" i="54" s="1"/>
  <c r="U564" i="54"/>
  <c r="X564" i="54" s="1"/>
  <c r="T565" i="54"/>
  <c r="AT83" i="55" s="1"/>
  <c r="AU83" i="55" s="1"/>
  <c r="AV83" i="55" s="1"/>
  <c r="K566" i="54"/>
  <c r="T566" i="54"/>
  <c r="Y566" i="54" s="1"/>
  <c r="U566" i="54"/>
  <c r="T567" i="54"/>
  <c r="AT85" i="55" s="1"/>
  <c r="AU85" i="55" s="1"/>
  <c r="AV85" i="55" s="1"/>
  <c r="K568" i="54"/>
  <c r="T568" i="54"/>
  <c r="AT86" i="55" s="1"/>
  <c r="AU86" i="55" s="1"/>
  <c r="AV86" i="55" s="1"/>
  <c r="E568" i="54" s="1"/>
  <c r="U568" i="54"/>
  <c r="Y568" i="54" s="1"/>
  <c r="V568" i="54" s="1"/>
  <c r="AY86" i="55" s="1"/>
  <c r="AZ86" i="55" s="1"/>
  <c r="BA86" i="55" s="1"/>
  <c r="T569" i="54"/>
  <c r="AT87" i="55" s="1"/>
  <c r="AU87" i="55" s="1"/>
  <c r="AV87" i="55" s="1"/>
  <c r="V570" i="54"/>
  <c r="W570" i="54"/>
  <c r="X570" i="54"/>
  <c r="Y570" i="54"/>
  <c r="Z570" i="54"/>
  <c r="AA570" i="54"/>
  <c r="AB570" i="54"/>
  <c r="AC570" i="54"/>
  <c r="E597" i="54"/>
  <c r="R597" i="54" s="1"/>
  <c r="E598" i="54"/>
  <c r="R598" i="54" s="1"/>
  <c r="T577" i="54"/>
  <c r="P577" i="54" s="1"/>
  <c r="E599" i="54" s="1"/>
  <c r="R599" i="54" s="1"/>
  <c r="P579" i="54"/>
  <c r="E600" i="54" s="1"/>
  <c r="R600" i="54" s="1"/>
  <c r="P580" i="54"/>
  <c r="E601" i="54" s="1"/>
  <c r="R601" i="54" s="1"/>
  <c r="P581" i="54"/>
  <c r="E602" i="54" s="1"/>
  <c r="R602" i="54" s="1"/>
  <c r="P583" i="54"/>
  <c r="E603" i="54" s="1"/>
  <c r="Y603" i="54" s="1"/>
  <c r="P584" i="54"/>
  <c r="E604" i="54" s="1"/>
  <c r="Y604" i="54" s="1"/>
  <c r="P588" i="54"/>
  <c r="P592" i="54"/>
  <c r="E607" i="54" s="1"/>
  <c r="Y607" i="54" s="1"/>
  <c r="C626"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R77" i="25" s="1"/>
  <c r="P77" i="25" s="1"/>
  <c r="S77" i="25" s="1"/>
  <c r="Y406" i="54"/>
  <c r="V406" i="54" s="1"/>
  <c r="AY76" i="55" s="1"/>
  <c r="AZ76" i="55" s="1"/>
  <c r="BA76" i="5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V290" i="54" s="1"/>
  <c r="B236" i="54"/>
  <c r="F469" i="54"/>
  <c r="L469" i="54" s="1"/>
  <c r="AO274" i="54"/>
  <c r="AZ274" i="54"/>
  <c r="AH274" i="54"/>
  <c r="BD274" i="54"/>
  <c r="AU274" i="54"/>
  <c r="AH273" i="54"/>
  <c r="BD273" i="54"/>
  <c r="AU273" i="54"/>
  <c r="AO273" i="54"/>
  <c r="R225" i="54"/>
  <c r="V225" i="54"/>
  <c r="AT30" i="55"/>
  <c r="AU30" i="55" s="1"/>
  <c r="AV30" i="55" s="1"/>
  <c r="E173" i="54" s="1"/>
  <c r="Y173" i="54"/>
  <c r="V173" i="54" s="1"/>
  <c r="AY30" i="55" s="1"/>
  <c r="AZ30" i="55" s="1"/>
  <c r="BA30" i="55" s="1"/>
  <c r="I173" i="54" s="1"/>
  <c r="BI192" i="54"/>
  <c r="R302" i="54"/>
  <c r="BD348" i="54"/>
  <c r="BD344" i="54"/>
  <c r="AT39" i="55"/>
  <c r="AU39" i="55" s="1"/>
  <c r="AV39" i="55" s="1"/>
  <c r="E245" i="54" s="1"/>
  <c r="AT47" i="55"/>
  <c r="AU47" i="55" s="1"/>
  <c r="AV47" i="55" s="1"/>
  <c r="E253" i="54" s="1"/>
  <c r="Y253" i="54"/>
  <c r="V253" i="54" s="1"/>
  <c r="AY47" i="55" s="1"/>
  <c r="AZ47" i="55" s="1"/>
  <c r="BA47" i="55" s="1"/>
  <c r="I253" i="54" s="1"/>
  <c r="AO116" i="54"/>
  <c r="BG116" i="54"/>
  <c r="AZ116" i="54"/>
  <c r="AH116" i="54"/>
  <c r="AO349" i="54"/>
  <c r="BI197"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O280" i="52"/>
  <c r="W449" i="52"/>
  <c r="P449" i="52"/>
  <c r="AE449" i="52" s="1"/>
  <c r="AF449" i="52" s="1"/>
  <c r="V75" i="52"/>
  <c r="F457" i="52"/>
  <c r="L457" i="52" s="1"/>
  <c r="W457" i="52" s="1"/>
  <c r="L454" i="52"/>
  <c r="F455" i="52"/>
  <c r="BD198" i="52"/>
  <c r="AO198" i="52"/>
  <c r="R377" i="52"/>
  <c r="BI348" i="52"/>
  <c r="BI269" i="52"/>
  <c r="AH197" i="52"/>
  <c r="BD197" i="52"/>
  <c r="AU197" i="52"/>
  <c r="AO197" i="52"/>
  <c r="BG197" i="52"/>
  <c r="AH273" i="52"/>
  <c r="AO121" i="52"/>
  <c r="AZ121" i="52"/>
  <c r="BD121" i="52"/>
  <c r="AU121" i="52"/>
  <c r="AH121" i="52"/>
  <c r="Y319" i="52"/>
  <c r="V319" i="52" s="1"/>
  <c r="BI51" i="55" s="1"/>
  <c r="BJ51" i="55" s="1"/>
  <c r="BK51" i="55" s="1"/>
  <c r="AH267" i="52"/>
  <c r="AU267" i="52"/>
  <c r="BD55" i="55"/>
  <c r="BE55" i="55" s="1"/>
  <c r="BF55" i="55" s="1"/>
  <c r="E323" i="52" s="1"/>
  <c r="Y323" i="52"/>
  <c r="V323" i="52" s="1"/>
  <c r="BI55" i="55" s="1"/>
  <c r="BJ55" i="55" s="1"/>
  <c r="BK55" i="55" s="1"/>
  <c r="E290" i="52"/>
  <c r="P237" i="52"/>
  <c r="E291" i="52" s="1"/>
  <c r="Y394" i="52"/>
  <c r="V394" i="52" s="1"/>
  <c r="BI64" i="55" s="1"/>
  <c r="BJ64" i="55" s="1"/>
  <c r="BK64" i="55" s="1"/>
  <c r="BD60" i="55"/>
  <c r="BE60" i="55" s="1"/>
  <c r="BF60" i="55" s="1"/>
  <c r="E328" i="52" s="1"/>
  <c r="Y328" i="52"/>
  <c r="V328" i="52" s="1"/>
  <c r="BI60" i="55" s="1"/>
  <c r="BJ60" i="55" s="1"/>
  <c r="BK60" i="55" s="1"/>
  <c r="BG273" i="52"/>
  <c r="AZ192" i="52"/>
  <c r="BG192" i="52"/>
  <c r="BD191" i="52"/>
  <c r="BG191" i="52"/>
  <c r="BD117" i="52"/>
  <c r="AH272" i="52"/>
  <c r="AP196" i="52"/>
  <c r="AI196" i="52"/>
  <c r="AZ191" i="52"/>
  <c r="AZ196" i="52"/>
  <c r="T198" i="52"/>
  <c r="BI116" i="52"/>
  <c r="AU347" i="52"/>
  <c r="AU344" i="52"/>
  <c r="BD272" i="52"/>
  <c r="AH269" i="52"/>
  <c r="BD268" i="52"/>
  <c r="U197" i="52"/>
  <c r="AQ197" i="52" s="1"/>
  <c r="BE196"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D39" i="52"/>
  <c r="AZ120" i="52"/>
  <c r="AO115" i="52"/>
  <c r="AR66" i="51"/>
  <c r="AS66" i="51" s="1"/>
  <c r="AT66" i="51" s="1"/>
  <c r="E387" i="48" s="1"/>
  <c r="Y40" i="52"/>
  <c r="AH35" i="52"/>
  <c r="T35" i="52"/>
  <c r="AD35" i="52" s="1"/>
  <c r="AM35" i="52"/>
  <c r="AH3" i="51"/>
  <c r="AI3" i="51" s="1"/>
  <c r="AJ3" i="51" s="1"/>
  <c r="E13" i="50" s="1"/>
  <c r="AO33" i="52"/>
  <c r="AC33" i="52"/>
  <c r="BD4" i="55"/>
  <c r="BE4" i="55" s="1"/>
  <c r="BF4" i="55" s="1"/>
  <c r="E20" i="52" s="1"/>
  <c r="W19" i="52"/>
  <c r="AC35" i="52"/>
  <c r="T34" i="52"/>
  <c r="E465" i="48"/>
  <c r="Y465" i="48" s="1"/>
  <c r="W94" i="48"/>
  <c r="V94" i="48" s="1"/>
  <c r="AW18" i="51" s="1"/>
  <c r="AX18" i="51" s="1"/>
  <c r="AY18" i="51" s="1"/>
  <c r="F313" i="48"/>
  <c r="M313" i="48" s="1"/>
  <c r="AR62" i="51"/>
  <c r="AS62" i="51" s="1"/>
  <c r="AT62" i="51" s="1"/>
  <c r="E383" i="48" s="1"/>
  <c r="Y383" i="48"/>
  <c r="V383" i="48" s="1"/>
  <c r="AW62" i="51" s="1"/>
  <c r="AX62" i="51" s="1"/>
  <c r="AY62" i="51" s="1"/>
  <c r="O399" i="48"/>
  <c r="P414" i="48"/>
  <c r="E459" i="48" s="1"/>
  <c r="S459" i="48" s="1"/>
  <c r="O398" i="48"/>
  <c r="P416" i="48"/>
  <c r="E461" i="48" s="1"/>
  <c r="S461" i="48" s="1"/>
  <c r="O397" i="48"/>
  <c r="AR63" i="51"/>
  <c r="AS63" i="51" s="1"/>
  <c r="AT63" i="51" s="1"/>
  <c r="E384" i="48" s="1"/>
  <c r="Y384" i="48"/>
  <c r="V384" i="48" s="1"/>
  <c r="AW63" i="51" s="1"/>
  <c r="AX63" i="51" s="1"/>
  <c r="AY63" i="51" s="1"/>
  <c r="F310" i="48"/>
  <c r="M310" i="48" s="1"/>
  <c r="AF48" i="44"/>
  <c r="Z62" i="44" s="1"/>
  <c r="Y92" i="40"/>
  <c r="T93" i="40"/>
  <c r="W7" i="34"/>
  <c r="V7" i="34" s="1"/>
  <c r="U3" i="35" s="1"/>
  <c r="V3" i="35" s="1"/>
  <c r="W3" i="35" s="1"/>
  <c r="W176" i="48"/>
  <c r="V176" i="48" s="1"/>
  <c r="AW32" i="51" s="1"/>
  <c r="AX32" i="51" s="1"/>
  <c r="AY32" i="51" s="1"/>
  <c r="AR24" i="51"/>
  <c r="AS24" i="51" s="1"/>
  <c r="AT24" i="51" s="1"/>
  <c r="E134" i="48" s="1"/>
  <c r="W134" i="48"/>
  <c r="V134" i="48" s="1"/>
  <c r="AW24" i="51" s="1"/>
  <c r="AX24" i="51" s="1"/>
  <c r="AY24" i="51" s="1"/>
  <c r="K29" i="44"/>
  <c r="AR29" i="44" s="1"/>
  <c r="K30" i="44"/>
  <c r="AR30" i="44" s="1"/>
  <c r="K26" i="44"/>
  <c r="AR26" i="44" s="1"/>
  <c r="P5" i="35"/>
  <c r="Q5" i="35" s="1"/>
  <c r="R5" i="35" s="1"/>
  <c r="E9" i="34" s="1"/>
  <c r="W9" i="34"/>
  <c r="V9" i="34" s="1"/>
  <c r="U5" i="35" s="1"/>
  <c r="V5" i="35" s="1"/>
  <c r="W5" i="35" s="1"/>
  <c r="O48" i="44"/>
  <c r="I62" i="44" s="1"/>
  <c r="Z13" i="35"/>
  <c r="AA13" i="35" s="1"/>
  <c r="AB13" i="35" s="1"/>
  <c r="E17" i="40" s="1"/>
  <c r="W17" i="40"/>
  <c r="V17" i="40" s="1"/>
  <c r="AE13" i="35" s="1"/>
  <c r="AF13" i="35" s="1"/>
  <c r="AG13" i="35" s="1"/>
  <c r="Y92" i="34"/>
  <c r="P11" i="35"/>
  <c r="Q11" i="35" s="1"/>
  <c r="R11" i="35" s="1"/>
  <c r="E15" i="34" s="1"/>
  <c r="Z11" i="35"/>
  <c r="AA11" i="35" s="1"/>
  <c r="AB11" i="35" s="1"/>
  <c r="E15" i="40" s="1"/>
  <c r="W15" i="40"/>
  <c r="V15" i="40" s="1"/>
  <c r="AE11" i="35" s="1"/>
  <c r="AF11" i="35" s="1"/>
  <c r="AG11" i="35" s="1"/>
  <c r="P11" i="28"/>
  <c r="Q11" i="28" s="1"/>
  <c r="R11" i="28" s="1"/>
  <c r="E17" i="27" s="1"/>
  <c r="W17" i="27"/>
  <c r="V17" i="27" s="1"/>
  <c r="U11" i="28" s="1"/>
  <c r="V11" i="28" s="1"/>
  <c r="W11" i="28" s="1"/>
  <c r="X34" i="27"/>
  <c r="X34" i="41"/>
  <c r="T34" i="4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R40" i="52"/>
  <c r="AJ197" i="52"/>
  <c r="AW197" i="52"/>
  <c r="BB197" i="52"/>
  <c r="AB120" i="52"/>
  <c r="BJ120" i="52" s="1"/>
  <c r="AV117" i="52"/>
  <c r="F485" i="52"/>
  <c r="F481" i="52"/>
  <c r="L481" i="52" s="1"/>
  <c r="S16" i="46"/>
  <c r="O10" i="46"/>
  <c r="I12" i="46"/>
  <c r="AI35" i="52"/>
  <c r="V122" i="52"/>
  <c r="AK122" i="52" s="1"/>
  <c r="V376" i="54"/>
  <c r="V148" i="54"/>
  <c r="AZ273" i="54"/>
  <c r="BG273" i="54"/>
  <c r="AC40" i="54"/>
  <c r="AH40" i="54"/>
  <c r="AL40" i="54"/>
  <c r="AO40" i="54"/>
  <c r="AT74" i="55"/>
  <c r="AU74" i="55" s="1"/>
  <c r="AV74" i="55" s="1"/>
  <c r="E404" i="54" s="1"/>
  <c r="AT72" i="55"/>
  <c r="AU72" i="55" s="1"/>
  <c r="AV72" i="55" s="1"/>
  <c r="E402" i="54" s="1"/>
  <c r="BG267" i="54"/>
  <c r="AU267" i="54"/>
  <c r="AZ267" i="54"/>
  <c r="V227" i="54"/>
  <c r="V446" i="52"/>
  <c r="P446" i="52"/>
  <c r="AE446" i="52" s="1"/>
  <c r="AF446" i="52" s="1"/>
  <c r="AZ268" i="54"/>
  <c r="AH268" i="54"/>
  <c r="BG268" i="54"/>
  <c r="BD84" i="55"/>
  <c r="BE84" i="55" s="1"/>
  <c r="BF84" i="55" s="1"/>
  <c r="E566" i="52" s="1"/>
  <c r="B311" i="54"/>
  <c r="AT20" i="55"/>
  <c r="AU20" i="55" s="1"/>
  <c r="AV20" i="55" s="1"/>
  <c r="E99" i="54" s="1"/>
  <c r="AT12" i="55"/>
  <c r="AU12" i="55" s="1"/>
  <c r="AV12" i="55" s="1"/>
  <c r="E91" i="54" s="1"/>
  <c r="BG122" i="52"/>
  <c r="AT26" i="55"/>
  <c r="AU26" i="55" s="1"/>
  <c r="AV26" i="55" s="1"/>
  <c r="E169" i="54" s="1"/>
  <c r="AO347" i="52"/>
  <c r="BG347" i="52"/>
  <c r="T348" i="52"/>
  <c r="AP348" i="52" s="1"/>
  <c r="T349" i="52"/>
  <c r="AC40" i="52"/>
  <c r="AL40" i="52"/>
  <c r="AO40" i="52"/>
  <c r="AH40" i="52"/>
  <c r="T33" i="52"/>
  <c r="Y33" i="52" s="1"/>
  <c r="AR33" i="52" s="1"/>
  <c r="AH33" i="52"/>
  <c r="AL33" i="52"/>
  <c r="AZ198" i="54"/>
  <c r="AH192" i="52"/>
  <c r="AO192" i="52"/>
  <c r="U198" i="52"/>
  <c r="AJ198" i="52" s="1"/>
  <c r="AB196" i="52"/>
  <c r="BD348" i="52"/>
  <c r="AO348" i="52"/>
  <c r="AU348" i="52"/>
  <c r="AZ348" i="52"/>
  <c r="AO198" i="54"/>
  <c r="AU197" i="54"/>
  <c r="AV196" i="52"/>
  <c r="O126" i="52"/>
  <c r="BG197" i="54"/>
  <c r="BG348" i="52"/>
  <c r="AZ347" i="52"/>
  <c r="BG120" i="52"/>
  <c r="AO274" i="52"/>
  <c r="Y100" i="52"/>
  <c r="V100" i="52" s="1"/>
  <c r="BI21" i="55" s="1"/>
  <c r="BJ21" i="55" s="1"/>
  <c r="BK21" i="55" s="1"/>
  <c r="I100" i="52" s="1"/>
  <c r="BG343" i="52"/>
  <c r="BG274" i="52"/>
  <c r="AH274" i="52"/>
  <c r="AZ268" i="52"/>
  <c r="BD196" i="52"/>
  <c r="T197" i="52"/>
  <c r="BA197" i="52" s="1"/>
  <c r="Y18" i="40"/>
  <c r="F315" i="48"/>
  <c r="F290" i="48"/>
  <c r="M290" i="48" s="1"/>
  <c r="W19" i="27"/>
  <c r="V19" i="27" s="1"/>
  <c r="U13" i="28" s="1"/>
  <c r="V13" i="28" s="1"/>
  <c r="W13" i="28" s="1"/>
  <c r="I19" i="27" s="1"/>
  <c r="P13" i="28"/>
  <c r="Q13" i="28" s="1"/>
  <c r="R13" i="28" s="1"/>
  <c r="E19" i="27" s="1"/>
  <c r="P3" i="28"/>
  <c r="Q3" i="28" s="1"/>
  <c r="R3" i="28" s="1"/>
  <c r="E9" i="27" s="1"/>
  <c r="AM33" i="52"/>
  <c r="BB198" i="52"/>
  <c r="AI121" i="52"/>
  <c r="AP121" i="52"/>
  <c r="AB121" i="52"/>
  <c r="BA121" i="52"/>
  <c r="AI349" i="52"/>
  <c r="BE349" i="52"/>
  <c r="AP349" i="52"/>
  <c r="BJ121" i="52"/>
  <c r="P13" i="54"/>
  <c r="E64" i="54" s="1"/>
  <c r="E61" i="54"/>
  <c r="V61" i="54" s="1"/>
  <c r="AC35" i="54"/>
  <c r="AO35" i="54"/>
  <c r="AH35" i="54"/>
  <c r="AL34" i="54"/>
  <c r="AH34" i="54"/>
  <c r="AO34" i="54"/>
  <c r="U34" i="54"/>
  <c r="AI34" i="54"/>
  <c r="AD34" i="54"/>
  <c r="AM34" i="54"/>
  <c r="AM40" i="54"/>
  <c r="U40" i="54"/>
  <c r="Z40" i="54" s="1"/>
  <c r="AS40" i="54" s="1"/>
  <c r="Y40" i="54"/>
  <c r="AR40" i="54" s="1"/>
  <c r="AQ35" i="54"/>
  <c r="AR34" i="54"/>
  <c r="AQ39" i="54"/>
  <c r="AB347" i="54"/>
  <c r="AU191" i="54"/>
  <c r="AO191" i="54"/>
  <c r="BI348" i="54"/>
  <c r="BI273" i="54"/>
  <c r="BE347" i="54"/>
  <c r="AI347" i="54"/>
  <c r="BA347" i="54"/>
  <c r="AP347" i="54"/>
  <c r="AV347" i="54"/>
  <c r="U347" i="54"/>
  <c r="AQ347" i="54" s="1"/>
  <c r="BG348" i="54"/>
  <c r="T344" i="54"/>
  <c r="AI344" i="54" s="1"/>
  <c r="AH344" i="54"/>
  <c r="AH348" i="54"/>
  <c r="AU342" i="54"/>
  <c r="T348" i="54"/>
  <c r="U348" i="54" s="1"/>
  <c r="AJ348" i="54" s="1"/>
  <c r="BG344" i="54"/>
  <c r="AZ344" i="54"/>
  <c r="AZ348" i="54"/>
  <c r="AU344" i="54"/>
  <c r="U273" i="54"/>
  <c r="AV273" i="54"/>
  <c r="AP273" i="54"/>
  <c r="BA273" i="54"/>
  <c r="AI273" i="54"/>
  <c r="BE273" i="54"/>
  <c r="AP274" i="54"/>
  <c r="BA274" i="54"/>
  <c r="U274" i="54"/>
  <c r="BE274" i="54"/>
  <c r="AI274" i="54"/>
  <c r="BG269" i="54"/>
  <c r="BD269" i="54"/>
  <c r="AH269" i="54"/>
  <c r="AV197" i="54"/>
  <c r="U197" i="54"/>
  <c r="AJ197" i="54" s="1"/>
  <c r="AI197" i="54"/>
  <c r="BA197" i="54"/>
  <c r="BE197" i="54"/>
  <c r="T193" i="54"/>
  <c r="AI193" i="54" s="1"/>
  <c r="BE121" i="54"/>
  <c r="U121" i="54"/>
  <c r="AW121" i="54" s="1"/>
  <c r="AV121" i="54"/>
  <c r="AI121" i="54"/>
  <c r="AP121" i="54"/>
  <c r="AB121" i="54"/>
  <c r="BA121" i="54"/>
  <c r="BG121" i="54"/>
  <c r="BD121" i="54"/>
  <c r="T115" i="54"/>
  <c r="BE115" i="54" s="1"/>
  <c r="AO120" i="54"/>
  <c r="AH120" i="54"/>
  <c r="AV122" i="54"/>
  <c r="AB122" i="54"/>
  <c r="BJ122" i="54"/>
  <c r="BG122" i="54"/>
  <c r="BD122" i="54"/>
  <c r="AO122" i="54"/>
  <c r="AH122" i="54"/>
  <c r="T120" i="54"/>
  <c r="AV120" i="54" s="1"/>
  <c r="BG120" i="54"/>
  <c r="BD120" i="54"/>
  <c r="AU120" i="54"/>
  <c r="AU115" i="54"/>
  <c r="BG115" i="54"/>
  <c r="BD115" i="54"/>
  <c r="AO115" i="54"/>
  <c r="AH115" i="54"/>
  <c r="AB115" i="54"/>
  <c r="BJ115" i="54" s="1"/>
  <c r="AC347" i="54"/>
  <c r="BK347" i="54" s="1"/>
  <c r="AV344" i="54"/>
  <c r="BE344" i="54"/>
  <c r="BA344" i="54"/>
  <c r="AP344" i="54"/>
  <c r="BJ347" i="54"/>
  <c r="BA348" i="54"/>
  <c r="AP348" i="54"/>
  <c r="AW274" i="54"/>
  <c r="AQ274" i="54"/>
  <c r="AJ274" i="54"/>
  <c r="BB274" i="54"/>
  <c r="V273" i="54"/>
  <c r="AW273" i="54"/>
  <c r="AJ273" i="54"/>
  <c r="AQ273" i="54"/>
  <c r="BB273" i="54"/>
  <c r="U193" i="54"/>
  <c r="V193" i="54" s="1"/>
  <c r="AX193" i="54" s="1"/>
  <c r="BA115" i="54"/>
  <c r="U120" i="54"/>
  <c r="AJ120" i="54" s="1"/>
  <c r="BE120" i="54"/>
  <c r="BA120" i="54"/>
  <c r="AI120" i="54"/>
  <c r="AP120" i="54"/>
  <c r="AQ33" i="54"/>
  <c r="AR273" i="54"/>
  <c r="AJ193" i="54"/>
  <c r="V120" i="54"/>
  <c r="AW120" i="54"/>
  <c r="AC120" i="54"/>
  <c r="BK120" i="54" s="1"/>
  <c r="BJ121" i="54"/>
  <c r="AK120" i="54"/>
  <c r="BI196" i="54"/>
  <c r="BI191" i="54"/>
  <c r="BI347" i="54"/>
  <c r="BI122" i="54"/>
  <c r="BI120" i="54"/>
  <c r="B83" i="54"/>
  <c r="AD38" i="54"/>
  <c r="AM38" i="54"/>
  <c r="AI38" i="54"/>
  <c r="U38" i="54"/>
  <c r="Z38" i="54" s="1"/>
  <c r="AL38" i="54"/>
  <c r="AH38" i="54"/>
  <c r="AO38" i="54"/>
  <c r="AC38" i="54"/>
  <c r="Y38" i="54"/>
  <c r="O52" i="54"/>
  <c r="O51" i="54"/>
  <c r="AR38" i="54"/>
  <c r="AE38" i="54"/>
  <c r="AQ38" i="54"/>
  <c r="P387" i="54"/>
  <c r="E530" i="54" s="1"/>
  <c r="AN530" i="54" s="1"/>
  <c r="L472" i="54" l="1"/>
  <c r="W472" i="54" s="1"/>
  <c r="L456" i="54"/>
  <c r="V456" i="54" s="1"/>
  <c r="P390" i="54"/>
  <c r="E533" i="54" s="1"/>
  <c r="AQ530" i="54" s="1"/>
  <c r="O355" i="54"/>
  <c r="O354" i="54"/>
  <c r="O128" i="54"/>
  <c r="L502" i="52"/>
  <c r="V487" i="52"/>
  <c r="L475" i="52"/>
  <c r="W475" i="52" s="1"/>
  <c r="V379" i="52"/>
  <c r="Y379" i="52"/>
  <c r="V378" i="52"/>
  <c r="Y378" i="52"/>
  <c r="O354" i="52"/>
  <c r="O353" i="52"/>
  <c r="V371" i="52"/>
  <c r="Y371" i="52"/>
  <c r="V370" i="52"/>
  <c r="Y370" i="52"/>
  <c r="V369" i="52"/>
  <c r="Y369" i="52"/>
  <c r="V368" i="52"/>
  <c r="Y368" i="52"/>
  <c r="V304" i="52"/>
  <c r="Y304" i="52"/>
  <c r="V296" i="52"/>
  <c r="Y296" i="52"/>
  <c r="V295" i="52"/>
  <c r="Y295" i="52"/>
  <c r="V294" i="52"/>
  <c r="Y294" i="52"/>
  <c r="V229" i="52"/>
  <c r="Y229" i="52"/>
  <c r="V228" i="52"/>
  <c r="Y228" i="52"/>
  <c r="V221" i="52"/>
  <c r="Y221" i="52"/>
  <c r="V220" i="52"/>
  <c r="Y220" i="52"/>
  <c r="V219" i="52"/>
  <c r="Y219" i="52"/>
  <c r="V218" i="52"/>
  <c r="Y218" i="52"/>
  <c r="V152" i="52"/>
  <c r="Y152" i="52"/>
  <c r="O127" i="52"/>
  <c r="T126" i="52" s="1"/>
  <c r="V144" i="52"/>
  <c r="Y144" i="52"/>
  <c r="V143" i="52"/>
  <c r="Y143" i="52"/>
  <c r="V142" i="52"/>
  <c r="Y142" i="52"/>
  <c r="V141" i="52"/>
  <c r="Y141" i="52"/>
  <c r="V72" i="52"/>
  <c r="Y72" i="52"/>
  <c r="V71" i="52"/>
  <c r="Y71" i="52"/>
  <c r="V70" i="52"/>
  <c r="Y70" i="52"/>
  <c r="V69" i="52"/>
  <c r="Y69" i="52"/>
  <c r="P413" i="48"/>
  <c r="E458" i="48" s="1"/>
  <c r="S458" i="48" s="1"/>
  <c r="P417" i="48"/>
  <c r="E462" i="48" s="1"/>
  <c r="S462" i="48" s="1"/>
  <c r="B413" i="48"/>
  <c r="O400" i="48"/>
  <c r="M319" i="48"/>
  <c r="AB23" i="44"/>
  <c r="V44" i="34"/>
  <c r="C81" i="34" s="1"/>
  <c r="O81" i="34" s="1"/>
  <c r="S53" i="34" s="1"/>
  <c r="O65" i="34"/>
  <c r="S51" i="34" s="1"/>
  <c r="O43" i="34"/>
  <c r="S48" i="34" s="1"/>
  <c r="V44" i="40"/>
  <c r="U44" i="40"/>
  <c r="C72" i="40" s="1"/>
  <c r="O72" i="40" s="1"/>
  <c r="S52" i="40" s="1"/>
  <c r="T44" i="40"/>
  <c r="S44" i="40"/>
  <c r="C54" i="40" s="1"/>
  <c r="O54" i="40" s="1"/>
  <c r="S49" i="40" s="1"/>
  <c r="O41" i="40"/>
  <c r="S47" i="40" s="1"/>
  <c r="AG24" i="37"/>
  <c r="AJ24" i="37" s="1"/>
  <c r="AB344" i="54"/>
  <c r="AB348" i="54"/>
  <c r="BJ348" i="54" s="1"/>
  <c r="C10" i="46"/>
  <c r="Y24" i="54"/>
  <c r="V24" i="54" s="1"/>
  <c r="AY8" i="55" s="1"/>
  <c r="AZ8" i="55" s="1"/>
  <c r="BA8" i="55" s="1"/>
  <c r="Y20" i="27"/>
  <c r="W7" i="40"/>
  <c r="V7" i="40" s="1"/>
  <c r="AE3" i="35" s="1"/>
  <c r="AF3" i="35" s="1"/>
  <c r="AG3" i="35" s="1"/>
  <c r="I7" i="40" s="1"/>
  <c r="AF118" i="37"/>
  <c r="AI118" i="37" s="1"/>
  <c r="AG118" i="37"/>
  <c r="AJ118" i="37" s="1"/>
  <c r="N80" i="37"/>
  <c r="N30" i="37"/>
  <c r="H6" i="47"/>
  <c r="G6" i="47"/>
  <c r="C13" i="46"/>
  <c r="T17" i="46"/>
  <c r="B9" i="46" s="1"/>
  <c r="C51" i="39"/>
  <c r="S51" i="39" s="1"/>
  <c r="C61" i="60"/>
  <c r="V14" i="31"/>
  <c r="M15" i="31" s="1"/>
  <c r="S14" i="31" s="1"/>
  <c r="P11" i="31" s="1"/>
  <c r="S19" i="31" s="1"/>
  <c r="T18" i="31" s="1"/>
  <c r="T65" i="25"/>
  <c r="T71" i="25"/>
  <c r="T77" i="25"/>
  <c r="T76" i="25"/>
  <c r="T70" i="25"/>
  <c r="T75" i="25"/>
  <c r="T69" i="25"/>
  <c r="T72" i="25"/>
  <c r="T68" i="25"/>
  <c r="T74" i="25"/>
  <c r="T67" i="25"/>
  <c r="T78" i="25"/>
  <c r="T73" i="25"/>
  <c r="T66" i="25"/>
  <c r="U21" i="26"/>
  <c r="U20" i="26"/>
  <c r="U19" i="26"/>
  <c r="V19" i="26" s="1"/>
  <c r="W19" i="26" s="1"/>
  <c r="V20" i="26" s="1"/>
  <c r="W20" i="26" s="1"/>
  <c r="P22" i="26" s="1"/>
  <c r="C47" i="39" s="1"/>
  <c r="S47" i="39" s="1"/>
  <c r="T17" i="31"/>
  <c r="AI39" i="37"/>
  <c r="AS70" i="37"/>
  <c r="AV70" i="37" s="1"/>
  <c r="AR70" i="37"/>
  <c r="AU70" i="37"/>
  <c r="AT70" i="37"/>
  <c r="AW70" i="37" s="1"/>
  <c r="N73" i="37" s="1"/>
  <c r="N124" i="37"/>
  <c r="AF24" i="37"/>
  <c r="AI24" i="37" s="1"/>
  <c r="T87" i="37"/>
  <c r="T39" i="37"/>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4"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W13" i="34"/>
  <c r="V13" i="34" s="1"/>
  <c r="U9" i="35" s="1"/>
  <c r="V9" i="35" s="1"/>
  <c r="W9" i="35" s="1"/>
  <c r="I13" i="34" s="1"/>
  <c r="P7" i="35"/>
  <c r="Q7" i="35" s="1"/>
  <c r="R7" i="35" s="1"/>
  <c r="E11" i="34" s="1"/>
  <c r="I11" i="34" s="1"/>
  <c r="I13" i="46"/>
  <c r="T16" i="46"/>
  <c r="C11" i="46"/>
  <c r="AM13" i="44"/>
  <c r="S13" i="44" s="1"/>
  <c r="AM9" i="44"/>
  <c r="AF6" i="44" s="1"/>
  <c r="AF8"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O16" i="32"/>
  <c r="T10" i="32"/>
  <c r="T16" i="32"/>
  <c r="T8" i="32"/>
  <c r="T13" i="32"/>
  <c r="T14" i="32"/>
  <c r="T7" i="32"/>
  <c r="T11" i="32"/>
  <c r="T9" i="32"/>
  <c r="T6" i="32"/>
  <c r="T15" i="32"/>
  <c r="T12" i="32"/>
  <c r="T73" i="60"/>
  <c r="I10" i="46"/>
  <c r="C12" i="46"/>
  <c r="C73" i="60"/>
  <c r="T72" i="60"/>
  <c r="C72" i="60"/>
  <c r="T74" i="60"/>
  <c r="C74" i="60"/>
  <c r="Y91" i="52"/>
  <c r="V91" i="52" s="1"/>
  <c r="BI12" i="55" s="1"/>
  <c r="BJ12" i="55" s="1"/>
  <c r="BK12" i="55" s="1"/>
  <c r="E468" i="48"/>
  <c r="Y468" i="48" s="1"/>
  <c r="W281" i="48"/>
  <c r="W319" i="48"/>
  <c r="M317"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Y370" i="54"/>
  <c r="Y295" i="54"/>
  <c r="V295" i="54"/>
  <c r="V220" i="54"/>
  <c r="Y220" i="54"/>
  <c r="R149" i="54"/>
  <c r="V149" i="54"/>
  <c r="AB267" i="54"/>
  <c r="BJ267" i="54" s="1"/>
  <c r="U267" i="54"/>
  <c r="BE267" i="54"/>
  <c r="AV267" i="54"/>
  <c r="AI267" i="54"/>
  <c r="AP267" i="54"/>
  <c r="BA267" i="54"/>
  <c r="V122" i="54"/>
  <c r="AD122" i="54" s="1"/>
  <c r="BL122" i="54" s="1"/>
  <c r="AC122" i="54"/>
  <c r="BK122" i="54" s="1"/>
  <c r="AQ122" i="54"/>
  <c r="AW122" i="54"/>
  <c r="AJ122" i="54"/>
  <c r="BB122" i="54"/>
  <c r="T354" i="54"/>
  <c r="V371" i="54"/>
  <c r="Y371" i="54"/>
  <c r="AM35" i="54"/>
  <c r="AD35" i="54"/>
  <c r="AI35" i="54"/>
  <c r="U35" i="54"/>
  <c r="Z35" i="54" s="1"/>
  <c r="AS35" i="54" s="1"/>
  <c r="Y35" i="54"/>
  <c r="AR35" i="54" s="1"/>
  <c r="BD193" i="54"/>
  <c r="AV348" i="54"/>
  <c r="AP122" i="54"/>
  <c r="AC39" i="54"/>
  <c r="F470" i="54"/>
  <c r="L470" i="54" s="1"/>
  <c r="V470" i="54" s="1"/>
  <c r="E215" i="54"/>
  <c r="AB120" i="54"/>
  <c r="BJ120" i="54" s="1"/>
  <c r="AI115" i="54"/>
  <c r="AP193" i="54"/>
  <c r="BE348" i="54"/>
  <c r="V347" i="54"/>
  <c r="W347" i="54" s="1"/>
  <c r="X347" i="54" s="1"/>
  <c r="AM347" i="54" s="1"/>
  <c r="AI122" i="54"/>
  <c r="AU193" i="54"/>
  <c r="AI196" i="54"/>
  <c r="AD40" i="54"/>
  <c r="AL39" i="54"/>
  <c r="AH39" i="54"/>
  <c r="AT82" i="55"/>
  <c r="AU82" i="55" s="1"/>
  <c r="AV82" i="55" s="1"/>
  <c r="E564" i="54" s="1"/>
  <c r="R290" i="54"/>
  <c r="AH343" i="54"/>
  <c r="W456" i="54"/>
  <c r="V379" i="54"/>
  <c r="Y379" i="54"/>
  <c r="V369" i="54"/>
  <c r="Y369" i="54"/>
  <c r="V303" i="54"/>
  <c r="Y303" i="54"/>
  <c r="O202" i="54"/>
  <c r="AO196" i="54"/>
  <c r="V72" i="54"/>
  <c r="Y72" i="54"/>
  <c r="P12" i="54"/>
  <c r="E63" i="54" s="1"/>
  <c r="L467" i="54"/>
  <c r="AJ121" i="54"/>
  <c r="L454" i="54"/>
  <c r="W454" i="54" s="1"/>
  <c r="V121" i="54"/>
  <c r="AK121" i="54" s="1"/>
  <c r="F468" i="54"/>
  <c r="BG193" i="54"/>
  <c r="BD343" i="54"/>
  <c r="F474" i="54"/>
  <c r="L474" i="54" s="1"/>
  <c r="AQ193" i="54"/>
  <c r="AP115" i="54"/>
  <c r="BE193" i="54"/>
  <c r="AI348" i="54"/>
  <c r="U344" i="54"/>
  <c r="AW347" i="54"/>
  <c r="BE122" i="54"/>
  <c r="AZ193" i="54"/>
  <c r="AZ269" i="54"/>
  <c r="T39" i="54"/>
  <c r="AZ196" i="54"/>
  <c r="R377" i="54"/>
  <c r="AU117" i="54"/>
  <c r="Y319" i="54"/>
  <c r="V319" i="54" s="1"/>
  <c r="AY51" i="55" s="1"/>
  <c r="AZ51" i="55" s="1"/>
  <c r="BA51" i="55" s="1"/>
  <c r="L471" i="54"/>
  <c r="F473" i="54"/>
  <c r="L473" i="54" s="1"/>
  <c r="V473" i="54" s="1"/>
  <c r="F457" i="54"/>
  <c r="L457" i="54" s="1"/>
  <c r="V457" i="54" s="1"/>
  <c r="V368" i="54"/>
  <c r="Y368" i="54"/>
  <c r="Y323" i="54"/>
  <c r="V323" i="54" s="1"/>
  <c r="AY55" i="55" s="1"/>
  <c r="AZ55" i="55" s="1"/>
  <c r="BA55" i="55" s="1"/>
  <c r="I323" i="54" s="1"/>
  <c r="R326" i="54" s="1"/>
  <c r="AH196" i="54"/>
  <c r="O126" i="54"/>
  <c r="BG117" i="54"/>
  <c r="AH193" i="54"/>
  <c r="T343" i="54"/>
  <c r="AZ343" i="54"/>
  <c r="V229" i="54"/>
  <c r="Y229" i="54"/>
  <c r="V221" i="54"/>
  <c r="Y221" i="54"/>
  <c r="V143" i="54"/>
  <c r="Y143" i="54"/>
  <c r="V70" i="54"/>
  <c r="Y70" i="54"/>
  <c r="AQ120" i="54"/>
  <c r="AV115" i="54"/>
  <c r="AV193" i="54"/>
  <c r="BA122" i="54"/>
  <c r="V474" i="54"/>
  <c r="P440" i="54"/>
  <c r="E550" i="54" s="1"/>
  <c r="Y550" i="54" s="1"/>
  <c r="AO343" i="54"/>
  <c r="V294" i="54"/>
  <c r="V142" i="54"/>
  <c r="Y142" i="54"/>
  <c r="V69" i="54"/>
  <c r="Y69" i="54"/>
  <c r="BA193" i="54"/>
  <c r="AJ40" i="54"/>
  <c r="V228" i="54"/>
  <c r="Y228" i="54"/>
  <c r="BG196" i="54"/>
  <c r="V141" i="54"/>
  <c r="Y141" i="54"/>
  <c r="V144" i="54"/>
  <c r="Y144" i="54"/>
  <c r="V71" i="54"/>
  <c r="Y71" i="54"/>
  <c r="U115" i="54"/>
  <c r="BB115" i="54" s="1"/>
  <c r="W474" i="54"/>
  <c r="F476" i="54"/>
  <c r="L476" i="54" s="1"/>
  <c r="V293" i="54"/>
  <c r="Y293" i="54"/>
  <c r="BD196" i="54"/>
  <c r="V219" i="54"/>
  <c r="Y219" i="54"/>
  <c r="V152" i="54"/>
  <c r="Y152" i="54"/>
  <c r="T116" i="54"/>
  <c r="AB273" i="54"/>
  <c r="BJ273" i="54" s="1"/>
  <c r="V304" i="54"/>
  <c r="Y304" i="54"/>
  <c r="V296" i="54"/>
  <c r="Y296" i="54"/>
  <c r="AU196" i="54"/>
  <c r="T349" i="54"/>
  <c r="W379" i="48"/>
  <c r="W224" i="48"/>
  <c r="V224" i="48" s="1"/>
  <c r="AW38" i="51" s="1"/>
  <c r="AX38" i="51" s="1"/>
  <c r="AY38" i="51" s="1"/>
  <c r="Y222" i="48"/>
  <c r="E466" i="48"/>
  <c r="Y466" i="48" s="1"/>
  <c r="E469" i="48"/>
  <c r="Y469" i="48" s="1"/>
  <c r="W174" i="48"/>
  <c r="V174" i="48" s="1"/>
  <c r="AW30" i="51" s="1"/>
  <c r="AX30" i="51" s="1"/>
  <c r="AY30" i="51" s="1"/>
  <c r="G175" i="48"/>
  <c r="Y173" i="48"/>
  <c r="E178" i="48"/>
  <c r="Y137" i="48"/>
  <c r="Y133" i="48"/>
  <c r="E138" i="48"/>
  <c r="E98" i="48"/>
  <c r="Y93" i="48"/>
  <c r="Y97" i="48"/>
  <c r="E58" i="48"/>
  <c r="Y53" i="48"/>
  <c r="F312" i="48"/>
  <c r="M312" i="48" s="1"/>
  <c r="Y385" i="48"/>
  <c r="V385" i="48" s="1"/>
  <c r="AW64" i="51" s="1"/>
  <c r="AX64" i="51" s="1"/>
  <c r="AY64" i="51" s="1"/>
  <c r="W455" i="48"/>
  <c r="F326" i="48"/>
  <c r="M326" i="48" s="1"/>
  <c r="V326" i="48" s="1"/>
  <c r="E365" i="48"/>
  <c r="Y365" i="48" s="1"/>
  <c r="M331" i="48"/>
  <c r="V331" i="48" s="1"/>
  <c r="W18" i="48"/>
  <c r="V18" i="48" s="1"/>
  <c r="AW8" i="51" s="1"/>
  <c r="AX8" i="51" s="1"/>
  <c r="AY8" i="51" s="1"/>
  <c r="J18" i="48" s="1"/>
  <c r="V281" i="48"/>
  <c r="F311" i="48"/>
  <c r="M311" i="48" s="1"/>
  <c r="F309" i="48"/>
  <c r="M309" i="48" s="1"/>
  <c r="F314" i="48"/>
  <c r="M314" i="48" s="1"/>
  <c r="M295" i="48"/>
  <c r="W295" i="48" s="1"/>
  <c r="M288" i="48"/>
  <c r="W288" i="48" s="1"/>
  <c r="W285" i="48"/>
  <c r="Y228" i="48"/>
  <c r="F333" i="48"/>
  <c r="M333" i="48" s="1"/>
  <c r="F332" i="48"/>
  <c r="W16" i="48"/>
  <c r="V16" i="48" s="1"/>
  <c r="AW6" i="51" s="1"/>
  <c r="AX6" i="51" s="1"/>
  <c r="AY6" i="51" s="1"/>
  <c r="J16" i="48" s="1"/>
  <c r="Y177" i="50"/>
  <c r="Y173" i="50"/>
  <c r="E178" i="50"/>
  <c r="Y137" i="50"/>
  <c r="Y133" i="50"/>
  <c r="E138" i="50"/>
  <c r="E98" i="50"/>
  <c r="Y97" i="50"/>
  <c r="Y93" i="50"/>
  <c r="G223" i="50"/>
  <c r="Y53" i="50"/>
  <c r="E58" i="50"/>
  <c r="G55" i="50"/>
  <c r="E365" i="50"/>
  <c r="Y365" i="50" s="1"/>
  <c r="G19" i="50"/>
  <c r="E330" i="52"/>
  <c r="AE319" i="52"/>
  <c r="AC323" i="52"/>
  <c r="AD323" i="52" s="1"/>
  <c r="Y245" i="54"/>
  <c r="V245" i="54" s="1"/>
  <c r="AY39" i="55" s="1"/>
  <c r="AZ39" i="55" s="1"/>
  <c r="BA39" i="55" s="1"/>
  <c r="I245" i="54" s="1"/>
  <c r="AC323" i="54"/>
  <c r="AE319" i="54"/>
  <c r="E330" i="54"/>
  <c r="AA323" i="54"/>
  <c r="AB323" i="54"/>
  <c r="E606" i="54"/>
  <c r="Y606" i="54" s="1"/>
  <c r="AE244" i="52"/>
  <c r="E255" i="52"/>
  <c r="AC248" i="52"/>
  <c r="AD248" i="52" s="1"/>
  <c r="E179" i="52"/>
  <c r="AE168" i="52"/>
  <c r="AC172" i="52"/>
  <c r="AD172" i="52" s="1"/>
  <c r="E102" i="52"/>
  <c r="AC95" i="52"/>
  <c r="AD95" i="52" s="1"/>
  <c r="AE91" i="52"/>
  <c r="Y19" i="52"/>
  <c r="V19" i="52" s="1"/>
  <c r="BI4" i="55" s="1"/>
  <c r="BJ4" i="55" s="1"/>
  <c r="BK4" i="55" s="1"/>
  <c r="I20" i="52" s="1"/>
  <c r="E26" i="52"/>
  <c r="AC172" i="54"/>
  <c r="AA248" i="54"/>
  <c r="AE168" i="54"/>
  <c r="AB172" i="54"/>
  <c r="E179" i="54"/>
  <c r="I252" i="54"/>
  <c r="R255" i="54" s="1"/>
  <c r="E255" i="54"/>
  <c r="AC248" i="54"/>
  <c r="AE244" i="54"/>
  <c r="Y100" i="54"/>
  <c r="V100" i="54" s="1"/>
  <c r="AY21" i="55" s="1"/>
  <c r="AZ21" i="55" s="1"/>
  <c r="BA21" i="55" s="1"/>
  <c r="I100" i="54" s="1"/>
  <c r="AT21" i="55"/>
  <c r="AU21" i="55" s="1"/>
  <c r="AV21" i="55" s="1"/>
  <c r="E100" i="54" s="1"/>
  <c r="W92" i="54"/>
  <c r="E102" i="54"/>
  <c r="AE92" i="54"/>
  <c r="I249" i="54"/>
  <c r="R251" i="54" s="1"/>
  <c r="E26" i="54"/>
  <c r="B28"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Y378" i="54"/>
  <c r="I319" i="54"/>
  <c r="R322" i="54" s="1"/>
  <c r="W249" i="54"/>
  <c r="Y244" i="54"/>
  <c r="V244" i="54" s="1"/>
  <c r="AY38" i="55" s="1"/>
  <c r="AZ38" i="55" s="1"/>
  <c r="BA38" i="55" s="1"/>
  <c r="R175" i="54"/>
  <c r="Y168" i="54"/>
  <c r="V168" i="54" s="1"/>
  <c r="AY25" i="55" s="1"/>
  <c r="AZ25" i="55" s="1"/>
  <c r="BA25" i="55" s="1"/>
  <c r="I168" i="54" s="1"/>
  <c r="R171" i="54" s="1"/>
  <c r="V151" i="54"/>
  <c r="Y151" i="54"/>
  <c r="V77" i="54"/>
  <c r="Y77" i="54"/>
  <c r="V76" i="54"/>
  <c r="Y76" i="54"/>
  <c r="M11" i="63"/>
  <c r="M21" i="63"/>
  <c r="M20" i="63"/>
  <c r="M16" i="63"/>
  <c r="M26" i="63"/>
  <c r="M18" i="63"/>
  <c r="M15" i="63"/>
  <c r="M14" i="63"/>
  <c r="M19" i="63"/>
  <c r="M25" i="63"/>
  <c r="M24" i="63"/>
  <c r="M10" i="63"/>
  <c r="M22" i="63"/>
  <c r="M13" i="63"/>
  <c r="M12" i="63"/>
  <c r="M17" i="63"/>
  <c r="M9" i="63"/>
  <c r="M23" i="63"/>
  <c r="AB25" i="44"/>
  <c r="AB29" i="44"/>
  <c r="AS23" i="44"/>
  <c r="AO23" i="44"/>
  <c r="AB24" i="44"/>
  <c r="AB26" i="44"/>
  <c r="AB28" i="44"/>
  <c r="AB30" i="44"/>
  <c r="T54" i="34"/>
  <c r="T52" i="34"/>
  <c r="T98" i="34"/>
  <c r="Z18" i="40"/>
  <c r="E12" i="40" s="1"/>
  <c r="O83" i="40"/>
  <c r="S54" i="40" s="1"/>
  <c r="T98" i="40"/>
  <c r="G8" i="40"/>
  <c r="O76" i="40"/>
  <c r="C81" i="40" s="1"/>
  <c r="O81" i="40" s="1"/>
  <c r="S53" i="40" s="1"/>
  <c r="U6" i="37"/>
  <c r="U7" i="37" s="1"/>
  <c r="U8" i="37" s="1"/>
  <c r="P5" i="37" s="1"/>
  <c r="G39" i="37" s="1"/>
  <c r="W15" i="27"/>
  <c r="V15" i="27" s="1"/>
  <c r="U9" i="28" s="1"/>
  <c r="V9" i="28" s="1"/>
  <c r="W9" i="28" s="1"/>
  <c r="I15" i="27" s="1"/>
  <c r="E10" i="27"/>
  <c r="E14" i="27"/>
  <c r="T36" i="27"/>
  <c r="E18" i="27"/>
  <c r="G18" i="27"/>
  <c r="E12" i="27"/>
  <c r="G12" i="27"/>
  <c r="G10" i="27"/>
  <c r="E16" i="27"/>
  <c r="AH118" i="37"/>
  <c r="AK118" i="37" s="1"/>
  <c r="N119" i="37" s="1"/>
  <c r="U104" i="37"/>
  <c r="U105" i="37" s="1"/>
  <c r="U106" i="37" s="1"/>
  <c r="P103" i="37" s="1"/>
  <c r="G133" i="37" s="1"/>
  <c r="U51" i="37"/>
  <c r="U52" i="37" s="1"/>
  <c r="U53" i="37" s="1"/>
  <c r="P50" i="37" s="1"/>
  <c r="G88" i="37" s="1"/>
  <c r="O64" i="44"/>
  <c r="AN64" i="44" s="1"/>
  <c r="AO64" i="44" s="1"/>
  <c r="AF61" i="44"/>
  <c r="AF64" i="44"/>
  <c r="AS64" i="44" s="1"/>
  <c r="AT64" i="44" s="1"/>
  <c r="AL13" i="44"/>
  <c r="B13" i="44" s="1"/>
  <c r="AN13" i="44"/>
  <c r="AL9" i="44"/>
  <c r="O6" i="44" s="1"/>
  <c r="S22" i="46"/>
  <c r="V14" i="46"/>
  <c r="O9" i="46"/>
  <c r="I11" i="46"/>
  <c r="B11" i="46"/>
  <c r="O11" i="46"/>
  <c r="U1" i="26"/>
  <c r="C24" i="26" s="1"/>
  <c r="T4" i="46"/>
  <c r="C55" i="46" s="1"/>
  <c r="T14" i="46"/>
  <c r="E464" i="48"/>
  <c r="Y464" i="48" s="1"/>
  <c r="R401" i="48"/>
  <c r="B401" i="48" s="1"/>
  <c r="X281" i="48"/>
  <c r="P281" i="48" s="1"/>
  <c r="AE281" i="48" s="1"/>
  <c r="AF281" i="48" s="1"/>
  <c r="Z222" i="48"/>
  <c r="V319" i="48"/>
  <c r="X319" i="48" s="1"/>
  <c r="P319" i="48" s="1"/>
  <c r="P415" i="48"/>
  <c r="E460" i="48" s="1"/>
  <c r="S460" i="48" s="1"/>
  <c r="V330" i="48"/>
  <c r="M327" i="48"/>
  <c r="V285" i="48"/>
  <c r="M332" i="48"/>
  <c r="V332" i="48" s="1"/>
  <c r="Z228" i="48"/>
  <c r="M316" i="48"/>
  <c r="V316" i="48" s="1"/>
  <c r="T263" i="48"/>
  <c r="V310" i="48"/>
  <c r="W310" i="48"/>
  <c r="W290" i="48"/>
  <c r="V290" i="48"/>
  <c r="W329" i="48"/>
  <c r="V329" i="48"/>
  <c r="W333" i="48"/>
  <c r="V333" i="48"/>
  <c r="F294" i="48"/>
  <c r="M294" i="48" s="1"/>
  <c r="F297" i="48"/>
  <c r="M297" i="48" s="1"/>
  <c r="W297" i="48" s="1"/>
  <c r="T436" i="48"/>
  <c r="F301" i="48"/>
  <c r="M301" i="48" s="1"/>
  <c r="V301" i="48" s="1"/>
  <c r="M293" i="48"/>
  <c r="W293" i="48" s="1"/>
  <c r="M287" i="48"/>
  <c r="W287" i="48" s="1"/>
  <c r="F291" i="48"/>
  <c r="M291" i="48" s="1"/>
  <c r="M315" i="48"/>
  <c r="W315" i="48" s="1"/>
  <c r="F324" i="48"/>
  <c r="M324" i="48" s="1"/>
  <c r="F302" i="48"/>
  <c r="M302" i="48" s="1"/>
  <c r="W302" i="48" s="1"/>
  <c r="Y397" i="48"/>
  <c r="F296" i="48"/>
  <c r="M296" i="48" s="1"/>
  <c r="M300" i="48"/>
  <c r="W300" i="48" s="1"/>
  <c r="T259" i="48"/>
  <c r="T211" i="48"/>
  <c r="B209" i="48" s="1"/>
  <c r="F323" i="48"/>
  <c r="M323" i="48" s="1"/>
  <c r="W323" i="48" s="1"/>
  <c r="W54" i="48"/>
  <c r="V54" i="48" s="1"/>
  <c r="AW12" i="51" s="1"/>
  <c r="AX12" i="51" s="1"/>
  <c r="AY12" i="51" s="1"/>
  <c r="J54" i="48" s="1"/>
  <c r="T432" i="48"/>
  <c r="U436" i="48" s="1"/>
  <c r="P430" i="48" s="1"/>
  <c r="E467" i="48" s="1"/>
  <c r="Y467" i="48" s="1"/>
  <c r="S320" i="48"/>
  <c r="F289" i="48"/>
  <c r="M289" i="48" s="1"/>
  <c r="W222" i="48"/>
  <c r="V222" i="48" s="1"/>
  <c r="AW36" i="51" s="1"/>
  <c r="AX36" i="51" s="1"/>
  <c r="AY36" i="51" s="1"/>
  <c r="J222" i="48" s="1"/>
  <c r="F322" i="48"/>
  <c r="M322" i="48" s="1"/>
  <c r="W322" i="48" s="1"/>
  <c r="S303" i="48"/>
  <c r="M321" i="48"/>
  <c r="V321" i="48" s="1"/>
  <c r="F325" i="48"/>
  <c r="M325" i="48" s="1"/>
  <c r="W325" i="48" s="1"/>
  <c r="P412" i="48"/>
  <c r="Z379" i="48"/>
  <c r="M308" i="48"/>
  <c r="V308" i="48" s="1"/>
  <c r="M334" i="48"/>
  <c r="F298" i="48"/>
  <c r="M298" i="48" s="1"/>
  <c r="W298" i="48" s="1"/>
  <c r="T218" i="48"/>
  <c r="B215" i="48" s="1"/>
  <c r="W311" i="48"/>
  <c r="V311" i="48"/>
  <c r="V294" i="48"/>
  <c r="W294" i="48"/>
  <c r="V314" i="48"/>
  <c r="W314" i="48"/>
  <c r="V287" i="48"/>
  <c r="S198" i="48"/>
  <c r="S113" i="48"/>
  <c r="W324" i="48"/>
  <c r="V324" i="48"/>
  <c r="W313" i="48"/>
  <c r="V313" i="48"/>
  <c r="W309" i="48"/>
  <c r="V309" i="48"/>
  <c r="W312" i="48"/>
  <c r="V312" i="48"/>
  <c r="W283" i="48"/>
  <c r="V283" i="48"/>
  <c r="W289" i="48"/>
  <c r="V289" i="48"/>
  <c r="W336" i="48"/>
  <c r="V336" i="48"/>
  <c r="W317" i="48"/>
  <c r="V317" i="48"/>
  <c r="V325" i="48"/>
  <c r="W282" i="48"/>
  <c r="V282" i="48"/>
  <c r="W327" i="48"/>
  <c r="V327" i="48"/>
  <c r="S34" i="48"/>
  <c r="W284" i="48"/>
  <c r="V284" i="48"/>
  <c r="W332" i="48"/>
  <c r="Y398" i="48"/>
  <c r="S73" i="48"/>
  <c r="AR44" i="51"/>
  <c r="AS44" i="51" s="1"/>
  <c r="AT44" i="51" s="1"/>
  <c r="E230" i="48" s="1"/>
  <c r="J230" i="48" s="1"/>
  <c r="Y399" i="48"/>
  <c r="P411" i="48"/>
  <c r="E456" i="48" s="1"/>
  <c r="S456" i="48" s="1"/>
  <c r="AR65" i="51"/>
  <c r="AS65" i="51" s="1"/>
  <c r="AT65" i="51" s="1"/>
  <c r="E386" i="48" s="1"/>
  <c r="W308" i="48"/>
  <c r="Y396" i="48"/>
  <c r="Z396" i="48" s="1"/>
  <c r="AA396" i="48" s="1"/>
  <c r="W330" i="48"/>
  <c r="X330" i="48" s="1"/>
  <c r="P330" i="48" s="1"/>
  <c r="AE291" i="48" s="1"/>
  <c r="AF291" i="48" s="1"/>
  <c r="AR38" i="51"/>
  <c r="AS38" i="51" s="1"/>
  <c r="AT38" i="51" s="1"/>
  <c r="E224" i="48" s="1"/>
  <c r="J224" i="48" s="1"/>
  <c r="AA379" i="48"/>
  <c r="Y382" i="48"/>
  <c r="V382" i="48" s="1"/>
  <c r="AW61" i="51" s="1"/>
  <c r="AX61" i="51" s="1"/>
  <c r="AY61" i="51" s="1"/>
  <c r="J382" i="48" s="1"/>
  <c r="P218" i="48"/>
  <c r="E351" i="48" s="1"/>
  <c r="S351" i="48" s="1"/>
  <c r="P209" i="48"/>
  <c r="E344" i="48" s="1"/>
  <c r="S344" i="48" s="1"/>
  <c r="P211" i="48"/>
  <c r="E346" i="48" s="1"/>
  <c r="P215" i="48"/>
  <c r="E348" i="48" s="1"/>
  <c r="S348" i="48" s="1"/>
  <c r="P216" i="48"/>
  <c r="E349" i="48" s="1"/>
  <c r="S349" i="48" s="1"/>
  <c r="E342" i="48"/>
  <c r="S342" i="48" s="1"/>
  <c r="P208" i="48"/>
  <c r="E343" i="48" s="1"/>
  <c r="S343" i="48" s="1"/>
  <c r="P217" i="48"/>
  <c r="E350" i="48" s="1"/>
  <c r="S350" i="48" s="1"/>
  <c r="P212" i="48"/>
  <c r="E347" i="48" s="1"/>
  <c r="S347" i="48" s="1"/>
  <c r="P219" i="48"/>
  <c r="E352" i="48" s="1"/>
  <c r="S352" i="48" s="1"/>
  <c r="P210" i="48"/>
  <c r="E345" i="48" s="1"/>
  <c r="S345" i="48" s="1"/>
  <c r="P63" i="48"/>
  <c r="E76" i="48" s="1"/>
  <c r="W76" i="48" s="1"/>
  <c r="Z228" i="50"/>
  <c r="Y377" i="48"/>
  <c r="V377" i="48" s="1"/>
  <c r="AW55" i="51" s="1"/>
  <c r="AX55" i="51" s="1"/>
  <c r="AY55" i="51" s="1"/>
  <c r="J377"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4" i="48"/>
  <c r="J386" i="48"/>
  <c r="J387" i="48"/>
  <c r="J383" i="48"/>
  <c r="J385" i="48"/>
  <c r="X379" i="48"/>
  <c r="Y379" i="48" s="1"/>
  <c r="V379" i="48" s="1"/>
  <c r="AW57" i="51" s="1"/>
  <c r="AX57" i="51" s="1"/>
  <c r="AY57" i="51" s="1"/>
  <c r="J379" i="48" s="1"/>
  <c r="J176" i="48"/>
  <c r="J134" i="48"/>
  <c r="J94" i="48"/>
  <c r="W98" i="48"/>
  <c r="J56" i="48"/>
  <c r="W13" i="48"/>
  <c r="V13" i="48" s="1"/>
  <c r="AW3" i="51" s="1"/>
  <c r="AX3" i="51" s="1"/>
  <c r="AY3" i="51" s="1"/>
  <c r="J13" i="48" s="1"/>
  <c r="R15" i="48" s="1"/>
  <c r="Y387" i="50"/>
  <c r="V387" i="50" s="1"/>
  <c r="AM66" i="51" s="1"/>
  <c r="AN66" i="51" s="1"/>
  <c r="AO66" i="51" s="1"/>
  <c r="Y382" i="50"/>
  <c r="V382" i="50" s="1"/>
  <c r="AM61" i="51" s="1"/>
  <c r="AN61" i="51" s="1"/>
  <c r="AO61" i="51" s="1"/>
  <c r="Y377" i="50"/>
  <c r="V377"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Y404" i="52"/>
  <c r="V404" i="52" s="1"/>
  <c r="BI74" i="55" s="1"/>
  <c r="BJ74" i="55" s="1"/>
  <c r="BK74" i="55" s="1"/>
  <c r="AL396" i="52"/>
  <c r="AM396" i="52" s="1"/>
  <c r="BD7" i="55"/>
  <c r="BE7" i="55" s="1"/>
  <c r="BF7" i="55" s="1"/>
  <c r="E23" i="52" s="1"/>
  <c r="R11" i="39"/>
  <c r="F319" i="50"/>
  <c r="W174" i="50"/>
  <c r="V174" i="50" s="1"/>
  <c r="AM30" i="51" s="1"/>
  <c r="AN30" i="51" s="1"/>
  <c r="AO30" i="51" s="1"/>
  <c r="J174" i="50" s="1"/>
  <c r="M319" i="50"/>
  <c r="V319" i="50" s="1"/>
  <c r="W224" i="50"/>
  <c r="V224" i="50" s="1"/>
  <c r="AM38" i="51" s="1"/>
  <c r="AN38" i="51" s="1"/>
  <c r="AO38" i="51" s="1"/>
  <c r="F297" i="50"/>
  <c r="M297" i="50" s="1"/>
  <c r="V297" i="50" s="1"/>
  <c r="F311" i="50"/>
  <c r="M311" i="50" s="1"/>
  <c r="F334" i="50"/>
  <c r="M334" i="50" s="1"/>
  <c r="W334" i="50" s="1"/>
  <c r="M331" i="50"/>
  <c r="AH44" i="51"/>
  <c r="AI44" i="51" s="1"/>
  <c r="AJ44" i="51" s="1"/>
  <c r="E230" i="50" s="1"/>
  <c r="W230" i="50"/>
  <c r="V230" i="50" s="1"/>
  <c r="AM44" i="51" s="1"/>
  <c r="AN44" i="51" s="1"/>
  <c r="AO44" i="51" s="1"/>
  <c r="V336" i="50"/>
  <c r="M300" i="50"/>
  <c r="W300" i="50" s="1"/>
  <c r="F295" i="50"/>
  <c r="M295" i="50" s="1"/>
  <c r="W295" i="50" s="1"/>
  <c r="W283" i="50"/>
  <c r="Y385" i="50"/>
  <c r="V385" i="50" s="1"/>
  <c r="AM64" i="51" s="1"/>
  <c r="AN64" i="51" s="1"/>
  <c r="AO64" i="51" s="1"/>
  <c r="J385" i="50" s="1"/>
  <c r="R401" i="50"/>
  <c r="B401" i="50" s="1"/>
  <c r="V282" i="50"/>
  <c r="T263" i="50"/>
  <c r="W134" i="50"/>
  <c r="V134" i="50" s="1"/>
  <c r="AM24" i="51" s="1"/>
  <c r="AN24" i="51" s="1"/>
  <c r="AO24" i="51" s="1"/>
  <c r="J134" i="50" s="1"/>
  <c r="W16" i="50"/>
  <c r="V16" i="50" s="1"/>
  <c r="AM6" i="51" s="1"/>
  <c r="AN6" i="51" s="1"/>
  <c r="AO6" i="51" s="1"/>
  <c r="J16" i="50" s="1"/>
  <c r="M310" i="50"/>
  <c r="W310" i="50" s="1"/>
  <c r="F312" i="50"/>
  <c r="M312" i="50" s="1"/>
  <c r="V312" i="50" s="1"/>
  <c r="AH66" i="51"/>
  <c r="AI66" i="51" s="1"/>
  <c r="AJ66" i="51" s="1"/>
  <c r="E387" i="50" s="1"/>
  <c r="Y383" i="50"/>
  <c r="V383" i="50" s="1"/>
  <c r="AM62" i="51" s="1"/>
  <c r="AN62" i="51" s="1"/>
  <c r="AO62" i="51" s="1"/>
  <c r="J383" i="50" s="1"/>
  <c r="F327" i="50"/>
  <c r="M327" i="50" s="1"/>
  <c r="V327" i="50" s="1"/>
  <c r="M316" i="50"/>
  <c r="W316" i="50" s="1"/>
  <c r="W282" i="50"/>
  <c r="O397" i="50"/>
  <c r="F332" i="50"/>
  <c r="M332" i="50" s="1"/>
  <c r="W332" i="50" s="1"/>
  <c r="M323" i="50"/>
  <c r="V323" i="50" s="1"/>
  <c r="F296" i="50"/>
  <c r="M296" i="50" s="1"/>
  <c r="V296" i="50" s="1"/>
  <c r="M288" i="50"/>
  <c r="W288" i="50" s="1"/>
  <c r="F289" i="50"/>
  <c r="M289" i="50" s="1"/>
  <c r="W289" i="50" s="1"/>
  <c r="F314" i="50"/>
  <c r="M314" i="50" s="1"/>
  <c r="W314" i="50" s="1"/>
  <c r="W228" i="50"/>
  <c r="V228" i="50" s="1"/>
  <c r="AM42" i="51" s="1"/>
  <c r="AN42" i="51" s="1"/>
  <c r="AO42" i="51" s="1"/>
  <c r="J228" i="50" s="1"/>
  <c r="AH61" i="51"/>
  <c r="AI61" i="51" s="1"/>
  <c r="AJ61" i="51" s="1"/>
  <c r="E382" i="50" s="1"/>
  <c r="T432" i="50"/>
  <c r="P413" i="50"/>
  <c r="E458" i="50" s="1"/>
  <c r="S458" i="50" s="1"/>
  <c r="M308" i="50"/>
  <c r="V308" i="50" s="1"/>
  <c r="F291" i="50"/>
  <c r="M291" i="50" s="1"/>
  <c r="V291" i="50" s="1"/>
  <c r="M287" i="50"/>
  <c r="W287" i="50" s="1"/>
  <c r="W176" i="50"/>
  <c r="V176" i="50" s="1"/>
  <c r="AM32" i="51" s="1"/>
  <c r="AN32" i="51" s="1"/>
  <c r="AO32" i="51" s="1"/>
  <c r="J176" i="50" s="1"/>
  <c r="F290" i="50"/>
  <c r="M290" i="50" s="1"/>
  <c r="W290" i="50" s="1"/>
  <c r="P416" i="50"/>
  <c r="E461" i="50" s="1"/>
  <c r="S461" i="50" s="1"/>
  <c r="W54" i="50"/>
  <c r="V54" i="50" s="1"/>
  <c r="AM12" i="51" s="1"/>
  <c r="AN12" i="51" s="1"/>
  <c r="AO12" i="51" s="1"/>
  <c r="J54" i="50" s="1"/>
  <c r="W96" i="50"/>
  <c r="V96" i="50" s="1"/>
  <c r="AM20" i="51" s="1"/>
  <c r="AN20" i="51" s="1"/>
  <c r="AO20" i="51" s="1"/>
  <c r="J96" i="50" s="1"/>
  <c r="F309" i="50"/>
  <c r="M309" i="50" s="1"/>
  <c r="F317" i="50"/>
  <c r="M317" i="50" s="1"/>
  <c r="V317" i="50" s="1"/>
  <c r="M294" i="50"/>
  <c r="Z379" i="50"/>
  <c r="V283" i="50"/>
  <c r="T218" i="50"/>
  <c r="B215" i="50" s="1"/>
  <c r="P412" i="50"/>
  <c r="B456" i="50" s="1"/>
  <c r="F313" i="50"/>
  <c r="M313" i="50" s="1"/>
  <c r="W313" i="50" s="1"/>
  <c r="AA379" i="50"/>
  <c r="AH38" i="51"/>
  <c r="AI38" i="51" s="1"/>
  <c r="AJ38" i="51" s="1"/>
  <c r="E224" i="50" s="1"/>
  <c r="W222" i="50"/>
  <c r="V222" i="50" s="1"/>
  <c r="AM36" i="51" s="1"/>
  <c r="AN36" i="51" s="1"/>
  <c r="AO36" i="51" s="1"/>
  <c r="J222" i="50" s="1"/>
  <c r="G225" i="50"/>
  <c r="P415" i="50"/>
  <c r="E460" i="50" s="1"/>
  <c r="S460" i="50" s="1"/>
  <c r="M321" i="50"/>
  <c r="V330" i="50"/>
  <c r="O398" i="50"/>
  <c r="V329" i="50"/>
  <c r="F326" i="50"/>
  <c r="M326" i="50" s="1"/>
  <c r="W326" i="50" s="1"/>
  <c r="M293" i="50"/>
  <c r="F325" i="50"/>
  <c r="M325" i="50" s="1"/>
  <c r="W325" i="50" s="1"/>
  <c r="Y384" i="50"/>
  <c r="V384" i="50" s="1"/>
  <c r="AM63" i="51" s="1"/>
  <c r="AN63" i="51" s="1"/>
  <c r="AO63" i="51" s="1"/>
  <c r="J384" i="50" s="1"/>
  <c r="F298" i="50"/>
  <c r="M298" i="50" s="1"/>
  <c r="F301" i="50"/>
  <c r="M301" i="50" s="1"/>
  <c r="W301" i="50" s="1"/>
  <c r="AH8" i="51"/>
  <c r="AI8" i="51" s="1"/>
  <c r="AJ8" i="51" s="1"/>
  <c r="E18" i="50" s="1"/>
  <c r="J18" i="50" s="1"/>
  <c r="O400" i="50"/>
  <c r="Y379" i="50"/>
  <c r="V379" i="50" s="1"/>
  <c r="AM57" i="51" s="1"/>
  <c r="AN57" i="51" s="1"/>
  <c r="AO57" i="51" s="1"/>
  <c r="J379" i="50" s="1"/>
  <c r="F324" i="50"/>
  <c r="M324" i="50" s="1"/>
  <c r="T259" i="50"/>
  <c r="P414" i="50"/>
  <c r="E459" i="50" s="1"/>
  <c r="S459" i="50" s="1"/>
  <c r="W285" i="50"/>
  <c r="O399" i="50"/>
  <c r="P417" i="50"/>
  <c r="E462" i="50" s="1"/>
  <c r="S462" i="50" s="1"/>
  <c r="T436" i="50"/>
  <c r="B413" i="50"/>
  <c r="F322" i="50"/>
  <c r="M322" i="50" s="1"/>
  <c r="W322" i="50" s="1"/>
  <c r="F302" i="50"/>
  <c r="M302" i="50" s="1"/>
  <c r="W302" i="50" s="1"/>
  <c r="W379" i="50"/>
  <c r="Y386" i="50"/>
  <c r="V386" i="50" s="1"/>
  <c r="AM65" i="51" s="1"/>
  <c r="AN65" i="51" s="1"/>
  <c r="AO65" i="51" s="1"/>
  <c r="J386" i="50" s="1"/>
  <c r="M333" i="50"/>
  <c r="V333" i="50" s="1"/>
  <c r="F315" i="50"/>
  <c r="M315" i="50" s="1"/>
  <c r="S303" i="50"/>
  <c r="P216" i="50"/>
  <c r="E349" i="50" s="1"/>
  <c r="S349" i="50" s="1"/>
  <c r="W94" i="50"/>
  <c r="V94" i="50" s="1"/>
  <c r="AM18" i="51" s="1"/>
  <c r="AN18" i="51" s="1"/>
  <c r="AO18" i="51" s="1"/>
  <c r="J94" i="50" s="1"/>
  <c r="V376" i="52"/>
  <c r="R376" i="52"/>
  <c r="V148" i="52"/>
  <c r="R148" i="52"/>
  <c r="P479" i="52"/>
  <c r="V479" i="52"/>
  <c r="BA115" i="52"/>
  <c r="U117" i="52"/>
  <c r="AW117" i="52" s="1"/>
  <c r="AV115" i="52"/>
  <c r="BE115" i="52"/>
  <c r="AB115" i="52"/>
  <c r="BJ115" i="52" s="1"/>
  <c r="AI115" i="52"/>
  <c r="AH122" i="52"/>
  <c r="F491" i="52"/>
  <c r="L491" i="52" s="1"/>
  <c r="W491" i="52" s="1"/>
  <c r="V120" i="52"/>
  <c r="W120" i="52" s="1"/>
  <c r="AE120" i="52" s="1"/>
  <c r="BM120" i="52" s="1"/>
  <c r="AP120" i="52"/>
  <c r="W324" i="52"/>
  <c r="F471" i="52"/>
  <c r="L471" i="52" s="1"/>
  <c r="W471" i="52" s="1"/>
  <c r="Y562" i="52"/>
  <c r="V562" i="52" s="1"/>
  <c r="BI80" i="55" s="1"/>
  <c r="BJ80" i="55" s="1"/>
  <c r="BK80" i="55" s="1"/>
  <c r="I562" i="52" s="1"/>
  <c r="L460" i="52"/>
  <c r="P388" i="52"/>
  <c r="E531" i="52" s="1"/>
  <c r="AO530" i="52" s="1"/>
  <c r="W320" i="52"/>
  <c r="AZ274" i="52"/>
  <c r="BD39" i="55"/>
  <c r="BE39" i="55" s="1"/>
  <c r="BF39" i="55" s="1"/>
  <c r="E245" i="52" s="1"/>
  <c r="F462" i="52"/>
  <c r="L462" i="52" s="1"/>
  <c r="V449" i="52"/>
  <c r="W447" i="52"/>
  <c r="AV120" i="52"/>
  <c r="V215" i="52"/>
  <c r="BD122" i="52"/>
  <c r="F469" i="52"/>
  <c r="L469" i="52" s="1"/>
  <c r="V469" i="52" s="1"/>
  <c r="AR122" i="52"/>
  <c r="V121" i="52"/>
  <c r="O419" i="52"/>
  <c r="P419" i="52" s="1"/>
  <c r="E538" i="52" s="1"/>
  <c r="Y538" i="52" s="1"/>
  <c r="T274" i="52"/>
  <c r="BE274" i="52" s="1"/>
  <c r="W487" i="52"/>
  <c r="F482" i="52"/>
  <c r="L482" i="52" s="1"/>
  <c r="W482" i="52" s="1"/>
  <c r="AQ120" i="52"/>
  <c r="AI120" i="52"/>
  <c r="F489" i="52"/>
  <c r="L489" i="52" s="1"/>
  <c r="AX122" i="52"/>
  <c r="Y95" i="52"/>
  <c r="V95" i="52" s="1"/>
  <c r="BI16" i="55" s="1"/>
  <c r="BJ16" i="55" s="1"/>
  <c r="BK16" i="55" s="1"/>
  <c r="I95" i="52" s="1"/>
  <c r="R98" i="52" s="1"/>
  <c r="F464" i="52"/>
  <c r="L464" i="52" s="1"/>
  <c r="F496" i="52"/>
  <c r="L496" i="52" s="1"/>
  <c r="W496" i="52" s="1"/>
  <c r="AW120" i="52"/>
  <c r="BB120" i="52"/>
  <c r="AZ122" i="52"/>
  <c r="AC197" i="52"/>
  <c r="BK197" i="52" s="1"/>
  <c r="AB348" i="52"/>
  <c r="U34" i="52"/>
  <c r="AI348" i="52"/>
  <c r="BG268" i="52"/>
  <c r="Y568" i="52"/>
  <c r="V568" i="52" s="1"/>
  <c r="BI86" i="55" s="1"/>
  <c r="BJ86" i="55" s="1"/>
  <c r="BK86" i="55" s="1"/>
  <c r="F490" i="52"/>
  <c r="L490" i="52" s="1"/>
  <c r="W490" i="52" s="1"/>
  <c r="F498" i="52"/>
  <c r="AP122" i="52"/>
  <c r="AO122" i="52"/>
  <c r="AU192" i="52"/>
  <c r="AO273" i="52"/>
  <c r="O279" i="52"/>
  <c r="BG196" i="52"/>
  <c r="O202" i="52"/>
  <c r="BD56" i="55"/>
  <c r="BE56" i="55" s="1"/>
  <c r="BF56" i="55" s="1"/>
  <c r="E324" i="52" s="1"/>
  <c r="F461" i="52"/>
  <c r="F486" i="52"/>
  <c r="BA120" i="52"/>
  <c r="T127" i="52"/>
  <c r="U126" i="52" s="1"/>
  <c r="V126" i="52" s="1"/>
  <c r="F488" i="52"/>
  <c r="L488" i="52" s="1"/>
  <c r="AB197" i="52"/>
  <c r="BJ197" i="52" s="1"/>
  <c r="U33" i="52"/>
  <c r="V33" i="52" s="1"/>
  <c r="AF33" i="52" s="1"/>
  <c r="BE348" i="52"/>
  <c r="AU273" i="52"/>
  <c r="J13" i="50"/>
  <c r="R15" i="50" s="1"/>
  <c r="E469" i="50"/>
  <c r="Y469" i="50" s="1"/>
  <c r="E468" i="50"/>
  <c r="Y468" i="50" s="1"/>
  <c r="E342" i="50"/>
  <c r="W281" i="50"/>
  <c r="V281" i="50"/>
  <c r="E466" i="50"/>
  <c r="Y466" i="50" s="1"/>
  <c r="AH55" i="51"/>
  <c r="AI55" i="51" s="1"/>
  <c r="AJ55" i="51" s="1"/>
  <c r="E377" i="50" s="1"/>
  <c r="V285" i="50"/>
  <c r="W329" i="50"/>
  <c r="E464" i="50"/>
  <c r="Y464" i="50" s="1"/>
  <c r="W336" i="50"/>
  <c r="P208" i="50"/>
  <c r="E343" i="50" s="1"/>
  <c r="S343" i="50" s="1"/>
  <c r="P218" i="50"/>
  <c r="E351" i="50" s="1"/>
  <c r="S351" i="50" s="1"/>
  <c r="P217" i="50"/>
  <c r="E350" i="50" s="1"/>
  <c r="S350" i="50" s="1"/>
  <c r="P219" i="50"/>
  <c r="E352" i="50" s="1"/>
  <c r="S352" i="50" s="1"/>
  <c r="P215" i="50"/>
  <c r="E348" i="50" s="1"/>
  <c r="S348" i="50" s="1"/>
  <c r="W330" i="50"/>
  <c r="S34" i="50"/>
  <c r="P210" i="50"/>
  <c r="E345" i="50" s="1"/>
  <c r="S345" i="50" s="1"/>
  <c r="P209" i="50"/>
  <c r="E344" i="50" s="1"/>
  <c r="S344" i="50" s="1"/>
  <c r="V284" i="50"/>
  <c r="W284" i="50"/>
  <c r="T211" i="50"/>
  <c r="B209" i="50" s="1"/>
  <c r="S153" i="50"/>
  <c r="S320" i="50"/>
  <c r="P211" i="50"/>
  <c r="E346" i="50" s="1"/>
  <c r="S346" i="50" s="1"/>
  <c r="AH14" i="51"/>
  <c r="AI14" i="51" s="1"/>
  <c r="AJ14" i="51" s="1"/>
  <c r="E56" i="50" s="1"/>
  <c r="S2" i="50"/>
  <c r="H501" i="50" s="1"/>
  <c r="S1" i="50"/>
  <c r="C501" i="50" s="1"/>
  <c r="G57" i="50"/>
  <c r="W58" i="50"/>
  <c r="W20" i="50"/>
  <c r="E20" i="50" s="1"/>
  <c r="G17" i="50"/>
  <c r="G177" i="50"/>
  <c r="W178" i="50"/>
  <c r="G95" i="50"/>
  <c r="G135" i="50"/>
  <c r="W138" i="50"/>
  <c r="W98" i="50"/>
  <c r="G175" i="50"/>
  <c r="G14" i="50"/>
  <c r="AJ569" i="52"/>
  <c r="AK569" i="52"/>
  <c r="E565" i="52" s="1"/>
  <c r="AL569" i="52"/>
  <c r="Y244" i="52"/>
  <c r="V244" i="52" s="1"/>
  <c r="BI38" i="55" s="1"/>
  <c r="BJ38" i="55" s="1"/>
  <c r="BK38" i="55" s="1"/>
  <c r="I244" i="52" s="1"/>
  <c r="R247"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G401" i="54" s="1"/>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B8" i="54"/>
  <c r="R61" i="54"/>
  <c r="P11" i="54"/>
  <c r="E62" i="54" s="1"/>
  <c r="L461" i="52"/>
  <c r="V461" i="52" s="1"/>
  <c r="W564" i="54"/>
  <c r="T342" i="52"/>
  <c r="AB342" i="52" s="1"/>
  <c r="T344" i="52"/>
  <c r="AO342" i="52"/>
  <c r="AV273" i="52"/>
  <c r="BA273" i="52"/>
  <c r="V149" i="52"/>
  <c r="R149" i="52"/>
  <c r="AV197" i="52"/>
  <c r="BD342" i="52"/>
  <c r="AC117" i="52"/>
  <c r="BK117" i="52" s="1"/>
  <c r="Y252" i="52"/>
  <c r="V252" i="52" s="1"/>
  <c r="BI46" i="55" s="1"/>
  <c r="BJ46" i="55" s="1"/>
  <c r="BK46" i="55" s="1"/>
  <c r="I252" i="52" s="1"/>
  <c r="R255" i="52" s="1"/>
  <c r="F501" i="52"/>
  <c r="L501" i="52" s="1"/>
  <c r="W501" i="52" s="1"/>
  <c r="F499" i="52"/>
  <c r="L499" i="52" s="1"/>
  <c r="F505" i="52"/>
  <c r="L505" i="52" s="1"/>
  <c r="V505" i="52" s="1"/>
  <c r="F497" i="52"/>
  <c r="L497" i="52" s="1"/>
  <c r="V497" i="52" s="1"/>
  <c r="F503" i="52"/>
  <c r="AJ396" i="52"/>
  <c r="V375" i="52"/>
  <c r="R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5" i="52"/>
  <c r="V485" i="52" s="1"/>
  <c r="F504" i="52"/>
  <c r="L504" i="52" s="1"/>
  <c r="AR121" i="52"/>
  <c r="AK121" i="52"/>
  <c r="BA198" i="52"/>
  <c r="AV198" i="52"/>
  <c r="BE198" i="52"/>
  <c r="L495" i="52"/>
  <c r="P495" i="52" s="1"/>
  <c r="T267" i="52"/>
  <c r="AB267" i="52" s="1"/>
  <c r="BJ267" i="52" s="1"/>
  <c r="T269" i="52"/>
  <c r="AZ267" i="52"/>
  <c r="AO267" i="52"/>
  <c r="BG267" i="52"/>
  <c r="AZ342" i="52"/>
  <c r="BD269" i="52"/>
  <c r="AU269" i="52"/>
  <c r="AZ269" i="52"/>
  <c r="V226" i="52"/>
  <c r="R226" i="52"/>
  <c r="AP197" i="52"/>
  <c r="T343" i="52"/>
  <c r="BA349" i="52"/>
  <c r="AV349" i="52"/>
  <c r="BE273" i="52"/>
  <c r="AJ117" i="52"/>
  <c r="W169" i="52"/>
  <c r="T268" i="52"/>
  <c r="BG342" i="52"/>
  <c r="R227" i="52"/>
  <c r="V227" i="52"/>
  <c r="AO269" i="52"/>
  <c r="AI273" i="52"/>
  <c r="BB117" i="52"/>
  <c r="BD267" i="52"/>
  <c r="BD21" i="55"/>
  <c r="BE21" i="55" s="1"/>
  <c r="BF21" i="55" s="1"/>
  <c r="E100" i="52" s="1"/>
  <c r="W100" i="52"/>
  <c r="AU342" i="52"/>
  <c r="BA117" i="52"/>
  <c r="AI117" i="52"/>
  <c r="BE197" i="52"/>
  <c r="R138" i="52"/>
  <c r="F500" i="52"/>
  <c r="L500" i="52" s="1"/>
  <c r="BE117" i="52"/>
  <c r="AP273" i="52"/>
  <c r="AQ117" i="52"/>
  <c r="R74" i="52"/>
  <c r="T389" i="52"/>
  <c r="B387" i="52" s="1"/>
  <c r="P387" i="52"/>
  <c r="E530" i="52" s="1"/>
  <c r="AN530" i="52" s="1"/>
  <c r="W249" i="52"/>
  <c r="BD43" i="55"/>
  <c r="BE43" i="55" s="1"/>
  <c r="BF43" i="55" s="1"/>
  <c r="E249" i="52" s="1"/>
  <c r="Y249" i="52"/>
  <c r="V249" i="52" s="1"/>
  <c r="BI43" i="55" s="1"/>
  <c r="BJ43" i="55" s="1"/>
  <c r="BK43" i="55" s="1"/>
  <c r="E606" i="52"/>
  <c r="Y606" i="52" s="1"/>
  <c r="AK396" i="52"/>
  <c r="O355" i="52"/>
  <c r="AO35" i="52"/>
  <c r="AL35" i="52"/>
  <c r="V489" i="52"/>
  <c r="W489" i="52"/>
  <c r="B311" i="52"/>
  <c r="E365" i="52"/>
  <c r="AH191" i="52"/>
  <c r="T192" i="52"/>
  <c r="BD20" i="55"/>
  <c r="BE20" i="55" s="1"/>
  <c r="BF20" i="55" s="1"/>
  <c r="E99" i="52" s="1"/>
  <c r="Y99" i="52"/>
  <c r="V99" i="52" s="1"/>
  <c r="BI20" i="55" s="1"/>
  <c r="BJ20" i="55" s="1"/>
  <c r="BK20" i="55" s="1"/>
  <c r="AU120" i="52"/>
  <c r="R301" i="52"/>
  <c r="U121" i="52"/>
  <c r="AC121" i="52" s="1"/>
  <c r="AB273" i="52"/>
  <c r="BJ273" i="52" s="1"/>
  <c r="AB122" i="52"/>
  <c r="BJ122" i="52" s="1"/>
  <c r="AH34" i="52"/>
  <c r="W173" i="52"/>
  <c r="AO191" i="52"/>
  <c r="F480" i="52"/>
  <c r="L480" i="52" s="1"/>
  <c r="V480" i="52" s="1"/>
  <c r="F483" i="52"/>
  <c r="F484" i="52"/>
  <c r="L484" i="52" s="1"/>
  <c r="L467" i="52"/>
  <c r="L463" i="52"/>
  <c r="V463" i="52" s="1"/>
  <c r="U412" i="52"/>
  <c r="V412" i="52" s="1"/>
  <c r="W412" i="52" s="1"/>
  <c r="P413" i="52" s="1"/>
  <c r="E536" i="52" s="1"/>
  <c r="Y536" i="52" s="1"/>
  <c r="T347" i="52"/>
  <c r="BA347" i="52" s="1"/>
  <c r="AH347" i="52"/>
  <c r="BD347" i="52"/>
  <c r="U115" i="52"/>
  <c r="AP115" i="52"/>
  <c r="U116" i="52"/>
  <c r="B83" i="52"/>
  <c r="BD120" i="52"/>
  <c r="R150" i="52"/>
  <c r="P447" i="52"/>
  <c r="AE447" i="52" s="1"/>
  <c r="AF447" i="52" s="1"/>
  <c r="Y35" i="52"/>
  <c r="AR35" i="52" s="1"/>
  <c r="W479" i="52"/>
  <c r="AL34" i="52"/>
  <c r="BD30" i="55"/>
  <c r="BE30" i="55" s="1"/>
  <c r="BF30" i="55" s="1"/>
  <c r="E173" i="52" s="1"/>
  <c r="AB117" i="52"/>
  <c r="BJ117" i="52" s="1"/>
  <c r="AZ117" i="52"/>
  <c r="BD273" i="52"/>
  <c r="W564" i="52"/>
  <c r="BD82" i="55"/>
  <c r="BE82" i="55" s="1"/>
  <c r="BF82" i="55" s="1"/>
  <c r="E564" i="52" s="1"/>
  <c r="Y564" i="52"/>
  <c r="V564" i="52" s="1"/>
  <c r="BI82" i="55" s="1"/>
  <c r="BJ82" i="55" s="1"/>
  <c r="BK82" i="55" s="1"/>
  <c r="AH268" i="52"/>
  <c r="AU268" i="52"/>
  <c r="BG115" i="52"/>
  <c r="T116" i="52"/>
  <c r="L455" i="52"/>
  <c r="X449" i="52"/>
  <c r="Y395" i="52"/>
  <c r="V395" i="52" s="1"/>
  <c r="BI65" i="55" s="1"/>
  <c r="BJ65" i="55" s="1"/>
  <c r="BK65" i="55" s="1"/>
  <c r="BD65" i="55"/>
  <c r="BE65" i="55" s="1"/>
  <c r="BF65" i="55" s="1"/>
  <c r="E395" i="52" s="1"/>
  <c r="AU272" i="52"/>
  <c r="AO272" i="52"/>
  <c r="BD47" i="55"/>
  <c r="BE47" i="55" s="1"/>
  <c r="BF47" i="55" s="1"/>
  <c r="E253" i="52" s="1"/>
  <c r="W253" i="52"/>
  <c r="O51" i="52"/>
  <c r="T52" i="52" s="1"/>
  <c r="E552" i="52"/>
  <c r="Y552" i="52" s="1"/>
  <c r="O420" i="52"/>
  <c r="P420" i="52" s="1"/>
  <c r="E539" i="52" s="1"/>
  <c r="Y539" i="52" s="1"/>
  <c r="AB274" i="52"/>
  <c r="BJ274" i="52" s="1"/>
  <c r="O204" i="52"/>
  <c r="AI569" i="52"/>
  <c r="B570" i="52" s="1"/>
  <c r="L456" i="52"/>
  <c r="AK407" i="52"/>
  <c r="O278" i="52"/>
  <c r="T278" i="52" s="1"/>
  <c r="O203" i="52"/>
  <c r="P12" i="52"/>
  <c r="E63" i="52" s="1"/>
  <c r="V63" i="52" s="1"/>
  <c r="AT84" i="55"/>
  <c r="AU84" i="55" s="1"/>
  <c r="AV84" i="55" s="1"/>
  <c r="E566" i="54" s="1"/>
  <c r="AI569" i="54"/>
  <c r="B570" i="54" s="1"/>
  <c r="I568" i="54"/>
  <c r="V566" i="54"/>
  <c r="AY84" i="55" s="1"/>
  <c r="AZ84" i="55" s="1"/>
  <c r="BA84" i="55" s="1"/>
  <c r="I566" i="54" s="1"/>
  <c r="AL396" i="54"/>
  <c r="AM396" i="54" s="1"/>
  <c r="AR193" i="54"/>
  <c r="AK193" i="54"/>
  <c r="AW197" i="54"/>
  <c r="V197" i="54"/>
  <c r="AD197" i="54" s="1"/>
  <c r="BL197" i="54" s="1"/>
  <c r="BB197" i="54"/>
  <c r="AQ197" i="54"/>
  <c r="AP269" i="54"/>
  <c r="BA269" i="54"/>
  <c r="AV269" i="54"/>
  <c r="BE269" i="54"/>
  <c r="AR120" i="54"/>
  <c r="AX120" i="54"/>
  <c r="V75" i="54"/>
  <c r="R75" i="54"/>
  <c r="AQ34" i="54"/>
  <c r="V348" i="54"/>
  <c r="AQ348" i="54"/>
  <c r="BB348" i="54"/>
  <c r="AW348" i="54"/>
  <c r="AJ34" i="54"/>
  <c r="AE34" i="54"/>
  <c r="Z34" i="54"/>
  <c r="AS34" i="54" s="1"/>
  <c r="V34" i="54"/>
  <c r="AF34" i="54" s="1"/>
  <c r="AL569" i="54"/>
  <c r="AJ569" i="54"/>
  <c r="F501" i="54"/>
  <c r="L501" i="54" s="1"/>
  <c r="W501" i="54" s="1"/>
  <c r="F503" i="54"/>
  <c r="L503" i="54" s="1"/>
  <c r="W503" i="54" s="1"/>
  <c r="F505" i="54"/>
  <c r="L505" i="54" s="1"/>
  <c r="F499" i="54"/>
  <c r="L499" i="54" s="1"/>
  <c r="V499" i="54" s="1"/>
  <c r="F500" i="54"/>
  <c r="L500" i="54" s="1"/>
  <c r="W500" i="54" s="1"/>
  <c r="F502" i="54"/>
  <c r="L502" i="54" s="1"/>
  <c r="F496" i="54"/>
  <c r="L496" i="54" s="1"/>
  <c r="V496" i="54" s="1"/>
  <c r="F498" i="54"/>
  <c r="L498" i="54" s="1"/>
  <c r="F497" i="54"/>
  <c r="F480" i="54"/>
  <c r="L480" i="54" s="1"/>
  <c r="W480" i="54" s="1"/>
  <c r="F482" i="54"/>
  <c r="L482" i="54" s="1"/>
  <c r="F484" i="54"/>
  <c r="L484" i="54" s="1"/>
  <c r="V484" i="54" s="1"/>
  <c r="F486" i="54"/>
  <c r="L486" i="54" s="1"/>
  <c r="V486" i="54" s="1"/>
  <c r="F488" i="54"/>
  <c r="L488" i="54" s="1"/>
  <c r="V488" i="54" s="1"/>
  <c r="F490" i="54"/>
  <c r="L490" i="54" s="1"/>
  <c r="V490" i="54" s="1"/>
  <c r="F481" i="54"/>
  <c r="L481" i="54" s="1"/>
  <c r="W481" i="54" s="1"/>
  <c r="F483" i="54"/>
  <c r="L483" i="54" s="1"/>
  <c r="V483" i="54" s="1"/>
  <c r="F485" i="54"/>
  <c r="L485" i="54" s="1"/>
  <c r="W485" i="54" s="1"/>
  <c r="F487" i="54"/>
  <c r="L487" i="54" s="1"/>
  <c r="F489" i="54"/>
  <c r="L489" i="54" s="1"/>
  <c r="F491" i="54"/>
  <c r="L491" i="54" s="1"/>
  <c r="V491" i="54" s="1"/>
  <c r="V115" i="54"/>
  <c r="F504" i="54"/>
  <c r="L504" i="54" s="1"/>
  <c r="V504" i="54" s="1"/>
  <c r="R595" i="54"/>
  <c r="T128" i="54"/>
  <c r="T127" i="54"/>
  <c r="AQ40" i="54"/>
  <c r="AH33" i="54"/>
  <c r="T33" i="54"/>
  <c r="AL33" i="54"/>
  <c r="AC33" i="54"/>
  <c r="AT34" i="55"/>
  <c r="AU34" i="55" s="1"/>
  <c r="AV34" i="55" s="1"/>
  <c r="E177" i="54" s="1"/>
  <c r="Y177" i="54"/>
  <c r="V177" i="54" s="1"/>
  <c r="AY34" i="55" s="1"/>
  <c r="AZ34" i="55" s="1"/>
  <c r="BA34" i="55" s="1"/>
  <c r="I177" i="54" s="1"/>
  <c r="W177" i="54"/>
  <c r="AS38" i="54"/>
  <c r="W471" i="54"/>
  <c r="V471" i="54"/>
  <c r="W273" i="54"/>
  <c r="AE273" i="54" s="1"/>
  <c r="BM273" i="54" s="1"/>
  <c r="AK273" i="54"/>
  <c r="AX273" i="54"/>
  <c r="W193" i="54"/>
  <c r="AE193" i="54" s="1"/>
  <c r="BM193" i="54" s="1"/>
  <c r="U269" i="54"/>
  <c r="AC269" i="54" s="1"/>
  <c r="BK269" i="54" s="1"/>
  <c r="W469"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5" i="54"/>
  <c r="AO192" i="54"/>
  <c r="T192" i="54"/>
  <c r="AB192" i="54" s="1"/>
  <c r="BJ192" i="54" s="1"/>
  <c r="AH192" i="54"/>
  <c r="BI274" i="54"/>
  <c r="AJ38" i="54"/>
  <c r="U196" i="54"/>
  <c r="T342" i="54"/>
  <c r="X456" i="54"/>
  <c r="P456" i="54" s="1"/>
  <c r="W473" i="54"/>
  <c r="X473" i="54" s="1"/>
  <c r="P473" i="54" s="1"/>
  <c r="T353" i="54"/>
  <c r="U353" i="54" s="1"/>
  <c r="V353" i="54" s="1"/>
  <c r="T355" i="54"/>
  <c r="AB193" i="54"/>
  <c r="AB269" i="54"/>
  <c r="BI343" i="54"/>
  <c r="AW193" i="54"/>
  <c r="AX347" i="54"/>
  <c r="BB121" i="54"/>
  <c r="AV196" i="54"/>
  <c r="V40" i="54"/>
  <c r="L475" i="54"/>
  <c r="V475" i="54" s="1"/>
  <c r="V469" i="54"/>
  <c r="U415" i="54"/>
  <c r="U416" i="54"/>
  <c r="O279" i="54"/>
  <c r="AC197" i="54"/>
  <c r="BK197" i="54" s="1"/>
  <c r="AP197" i="54"/>
  <c r="T272" i="54"/>
  <c r="BE272" i="54" s="1"/>
  <c r="V38" i="54"/>
  <c r="AF38" i="54" s="1"/>
  <c r="AQ121" i="54"/>
  <c r="V274" i="54"/>
  <c r="AD274" i="54" s="1"/>
  <c r="BL274" i="54" s="1"/>
  <c r="BJ344" i="54"/>
  <c r="AC193" i="54"/>
  <c r="BK193" i="54" s="1"/>
  <c r="BA196" i="54"/>
  <c r="AD273" i="54"/>
  <c r="BL273" i="54" s="1"/>
  <c r="AO342" i="54"/>
  <c r="AU192" i="54"/>
  <c r="AB197" i="54"/>
  <c r="AC273" i="54"/>
  <c r="AZ192" i="54"/>
  <c r="AK569" i="54"/>
  <c r="V472" i="54"/>
  <c r="X472" i="54" s="1"/>
  <c r="P472" i="54" s="1"/>
  <c r="W328" i="54"/>
  <c r="AT60" i="55"/>
  <c r="AU60" i="55" s="1"/>
  <c r="AV60" i="55" s="1"/>
  <c r="E328" i="54" s="1"/>
  <c r="W320" i="54"/>
  <c r="Y320" i="54"/>
  <c r="V320" i="54" s="1"/>
  <c r="AY52" i="55" s="1"/>
  <c r="AZ52" i="55" s="1"/>
  <c r="BA52" i="55" s="1"/>
  <c r="R301" i="54"/>
  <c r="V301" i="54"/>
  <c r="T203" i="54"/>
  <c r="T202" i="54"/>
  <c r="U202" i="54" s="1"/>
  <c r="V202" i="54" s="1"/>
  <c r="T204" i="54"/>
  <c r="V150" i="54"/>
  <c r="R150" i="54"/>
  <c r="T198" i="54"/>
  <c r="AH198" i="54"/>
  <c r="BG198" i="54"/>
  <c r="AO348" i="54"/>
  <c r="AU348" i="54"/>
  <c r="AD193" i="54"/>
  <c r="BL193" i="54" s="1"/>
  <c r="BE196" i="54"/>
  <c r="AH342" i="54"/>
  <c r="T51" i="54"/>
  <c r="BB193" i="54"/>
  <c r="AZ342" i="54"/>
  <c r="BG192" i="54"/>
  <c r="L468" i="54"/>
  <c r="V468" i="54" s="1"/>
  <c r="T126" i="54"/>
  <c r="AC274" i="54"/>
  <c r="BK274" i="54" s="1"/>
  <c r="AV274" i="54"/>
  <c r="AB274" i="54"/>
  <c r="BJ274" i="54" s="1"/>
  <c r="BD116" i="54"/>
  <c r="L479" i="54"/>
  <c r="V479" i="54" s="1"/>
  <c r="Y395" i="54"/>
  <c r="V395" i="54" s="1"/>
  <c r="AY65" i="55" s="1"/>
  <c r="AZ65" i="55" s="1"/>
  <c r="BA65" i="55" s="1"/>
  <c r="I395" i="54" s="1"/>
  <c r="W324" i="54"/>
  <c r="AT38" i="55"/>
  <c r="AU38" i="55" s="1"/>
  <c r="AV38" i="55" s="1"/>
  <c r="E244" i="54" s="1"/>
  <c r="P237" i="54"/>
  <c r="E291" i="54" s="1"/>
  <c r="T117" i="54"/>
  <c r="AU122" i="54"/>
  <c r="P160" i="54"/>
  <c r="E216" i="54" s="1"/>
  <c r="AB116" i="54"/>
  <c r="L495" i="54"/>
  <c r="P495" i="54" s="1"/>
  <c r="O420" i="54"/>
  <c r="P420" i="54" s="1"/>
  <c r="E539" i="54" s="1"/>
  <c r="Y539" i="54" s="1"/>
  <c r="AO117" i="54"/>
  <c r="W475" i="54"/>
  <c r="X475" i="54" s="1"/>
  <c r="P475" i="54" s="1"/>
  <c r="W470" i="54"/>
  <c r="X470" i="54" s="1"/>
  <c r="P470" i="54" s="1"/>
  <c r="T268" i="54"/>
  <c r="Y562" i="54"/>
  <c r="V562" i="54" s="1"/>
  <c r="AY80" i="55" s="1"/>
  <c r="AZ80" i="55" s="1"/>
  <c r="BA80" i="55" s="1"/>
  <c r="I562" i="54" s="1"/>
  <c r="E552" i="54"/>
  <c r="Y552" i="54" s="1"/>
  <c r="AK396" i="54"/>
  <c r="I394" i="54"/>
  <c r="W467" i="52"/>
  <c r="W460" i="52"/>
  <c r="V447" i="52"/>
  <c r="X447" i="52" s="1"/>
  <c r="W446" i="52"/>
  <c r="X446" i="52" s="1"/>
  <c r="P440" i="52"/>
  <c r="E550" i="52" s="1"/>
  <c r="Y550" i="52" s="1"/>
  <c r="BB530" i="52"/>
  <c r="W481" i="52"/>
  <c r="V481" i="52"/>
  <c r="BJ348" i="52"/>
  <c r="V499" i="52"/>
  <c r="W499" i="52"/>
  <c r="W461" i="52"/>
  <c r="V504" i="52"/>
  <c r="W504" i="52"/>
  <c r="V502" i="52"/>
  <c r="W502" i="52"/>
  <c r="P448" i="52"/>
  <c r="AE448" i="52" s="1"/>
  <c r="AF448" i="52" s="1"/>
  <c r="W448" i="52"/>
  <c r="V448" i="52"/>
  <c r="W464" i="52"/>
  <c r="V464" i="52"/>
  <c r="L486" i="52"/>
  <c r="L498" i="52"/>
  <c r="R225" i="52"/>
  <c r="V225" i="52"/>
  <c r="V482" i="52"/>
  <c r="V500" i="52"/>
  <c r="W500" i="52"/>
  <c r="BJ196" i="52"/>
  <c r="AW198" i="52"/>
  <c r="AQ198" i="52"/>
  <c r="W497" i="52"/>
  <c r="W122" i="52"/>
  <c r="AI34" i="52"/>
  <c r="Y34" i="52"/>
  <c r="AD34" i="52"/>
  <c r="AM34" i="52"/>
  <c r="V475" i="52"/>
  <c r="X475" i="52" s="1"/>
  <c r="P475" i="52" s="1"/>
  <c r="AJ34" i="52"/>
  <c r="X487" i="52"/>
  <c r="P487" i="52" s="1"/>
  <c r="AC39" i="52"/>
  <c r="AL39" i="52"/>
  <c r="AO39" i="52"/>
  <c r="Y39" i="52"/>
  <c r="AH39" i="52"/>
  <c r="V457" i="52"/>
  <c r="X457" i="52" s="1"/>
  <c r="P457" i="52"/>
  <c r="BD72" i="55"/>
  <c r="BE72" i="55" s="1"/>
  <c r="BF72" i="55" s="1"/>
  <c r="E402" i="52" s="1"/>
  <c r="Y402" i="52"/>
  <c r="V402" i="52" s="1"/>
  <c r="BI72" i="55" s="1"/>
  <c r="BJ72" i="55" s="1"/>
  <c r="BK72" i="55" s="1"/>
  <c r="V501" i="52"/>
  <c r="X501" i="52" s="1"/>
  <c r="P501" i="52"/>
  <c r="L483" i="52"/>
  <c r="Z34" i="52"/>
  <c r="AS34" i="52" s="1"/>
  <c r="AC198" i="52"/>
  <c r="BK198" i="52" s="1"/>
  <c r="AV348" i="52"/>
  <c r="BA348" i="52"/>
  <c r="AE34" i="52"/>
  <c r="AV121" i="52"/>
  <c r="BE121" i="52"/>
  <c r="AD33" i="52"/>
  <c r="U35" i="52"/>
  <c r="AI33" i="52"/>
  <c r="U342" i="52"/>
  <c r="BA342" i="52"/>
  <c r="AV269" i="52"/>
  <c r="AB269" i="52"/>
  <c r="BE269" i="52"/>
  <c r="W463" i="52"/>
  <c r="X463" i="52" s="1"/>
  <c r="P463" i="52" s="1"/>
  <c r="W450" i="52"/>
  <c r="V450" i="52"/>
  <c r="AD40" i="52"/>
  <c r="AM40" i="52"/>
  <c r="AI40" i="52"/>
  <c r="AX121" i="52"/>
  <c r="V300" i="52"/>
  <c r="R300" i="52"/>
  <c r="L503" i="52"/>
  <c r="U122" i="52"/>
  <c r="BE120" i="52"/>
  <c r="AC120" i="52"/>
  <c r="BK120" i="52" s="1"/>
  <c r="V290" i="52"/>
  <c r="R290" i="52"/>
  <c r="V454" i="52"/>
  <c r="W454" i="52"/>
  <c r="P454"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4" i="52"/>
  <c r="L474" i="52" s="1"/>
  <c r="F468" i="52"/>
  <c r="L468" i="52" s="1"/>
  <c r="F470" i="52"/>
  <c r="L470" i="52" s="1"/>
  <c r="F476" i="52"/>
  <c r="L476" i="52" s="1"/>
  <c r="F472" i="52"/>
  <c r="L472" i="52" s="1"/>
  <c r="F473" i="52"/>
  <c r="L473"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R251"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5" i="52"/>
  <c r="BD349" i="52"/>
  <c r="BD52" i="55"/>
  <c r="BE52" i="55" s="1"/>
  <c r="BF52" i="55" s="1"/>
  <c r="E320" i="52" s="1"/>
  <c r="T272" i="52"/>
  <c r="U196" i="52"/>
  <c r="R365" i="52"/>
  <c r="BD344" i="52"/>
  <c r="P312" i="52"/>
  <c r="E366" i="52" s="1"/>
  <c r="V366" i="52" s="1"/>
  <c r="BG272" i="52"/>
  <c r="P84" i="52"/>
  <c r="E139" i="52" s="1"/>
  <c r="AZ344" i="52"/>
  <c r="AZ272" i="52"/>
  <c r="AU191" i="52"/>
  <c r="T193" i="52"/>
  <c r="P13" i="52"/>
  <c r="E64" i="52" s="1"/>
  <c r="R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B12" i="46"/>
  <c r="U1" i="25"/>
  <c r="C81" i="25" s="1"/>
  <c r="M85" i="44"/>
  <c r="V85" i="44" s="1"/>
  <c r="S1" i="52"/>
  <c r="C638" i="52" s="1"/>
  <c r="B3" i="60"/>
  <c r="T1" i="24"/>
  <c r="I55" i="24" s="1"/>
  <c r="T1" i="22"/>
  <c r="I53" i="22" s="1"/>
  <c r="S52" i="60"/>
  <c r="S2" i="54"/>
  <c r="J638" i="54" s="1"/>
  <c r="V1" i="27"/>
  <c r="C39" i="27" s="1"/>
  <c r="O495" i="48"/>
  <c r="M83" i="44"/>
  <c r="O497" i="48"/>
  <c r="O494" i="48"/>
  <c r="V1" i="41"/>
  <c r="C39" i="41" s="1"/>
  <c r="U12" i="52"/>
  <c r="P160" i="52" s="1"/>
  <c r="E216" i="52" s="1"/>
  <c r="E61" i="52"/>
  <c r="V216" i="52"/>
  <c r="R216" i="52"/>
  <c r="V291" i="52"/>
  <c r="R291" i="52"/>
  <c r="P11" i="52"/>
  <c r="E62" i="52" s="1"/>
  <c r="B8" i="52"/>
  <c r="P14" i="52"/>
  <c r="E65" i="52" s="1"/>
  <c r="R595" i="52"/>
  <c r="T1" i="31"/>
  <c r="I21" i="31" s="1"/>
  <c r="T1" i="33"/>
  <c r="J14" i="33" s="1"/>
  <c r="T1" i="37"/>
  <c r="K150" i="37" s="1"/>
  <c r="T1" i="21"/>
  <c r="I9" i="21" s="1"/>
  <c r="O496" i="48"/>
  <c r="F489" i="48"/>
  <c r="S1" i="48"/>
  <c r="C501" i="48" s="1"/>
  <c r="F626" i="54"/>
  <c r="U1" i="40"/>
  <c r="C101" i="40" s="1"/>
  <c r="V300" i="54"/>
  <c r="R300" i="54"/>
  <c r="V375" i="54"/>
  <c r="R375" i="54"/>
  <c r="R365" i="54"/>
  <c r="V365" i="54"/>
  <c r="P312" i="54"/>
  <c r="E366" i="54" s="1"/>
  <c r="L497" i="54"/>
  <c r="V497" i="54" s="1"/>
  <c r="M32" i="46"/>
  <c r="M39" i="46"/>
  <c r="V73" i="44"/>
  <c r="Y79" i="44"/>
  <c r="D10" i="59"/>
  <c r="N38" i="39"/>
  <c r="D12" i="59"/>
  <c r="U1" i="30"/>
  <c r="C23" i="30" s="1"/>
  <c r="U1" i="23"/>
  <c r="I15" i="23" s="1"/>
  <c r="O498" i="48"/>
  <c r="T1" i="29"/>
  <c r="I10" i="29" s="1"/>
  <c r="O493" i="48"/>
  <c r="F489" i="50"/>
  <c r="T1" i="64"/>
  <c r="I8" i="64" s="1"/>
  <c r="U1" i="32"/>
  <c r="C19" i="32" s="1"/>
  <c r="U1" i="34"/>
  <c r="C101" i="34" s="1"/>
  <c r="S4" i="46"/>
  <c r="I55" i="46" s="1"/>
  <c r="T19" i="30"/>
  <c r="T20" i="30"/>
  <c r="T5" i="33"/>
  <c r="T6" i="33"/>
  <c r="T7" i="33"/>
  <c r="T8" i="33"/>
  <c r="S346" i="48"/>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36" i="54" s="1"/>
  <c r="Y536" i="54" s="1"/>
  <c r="V450" i="54"/>
  <c r="S465" i="54"/>
  <c r="F462" i="54"/>
  <c r="L462" i="54" s="1"/>
  <c r="V462" i="54" s="1"/>
  <c r="V501" i="54"/>
  <c r="X501" i="54" s="1"/>
  <c r="P501" i="54" s="1"/>
  <c r="W505" i="54"/>
  <c r="V505" i="54"/>
  <c r="W497" i="54"/>
  <c r="W502" i="54"/>
  <c r="V502" i="54"/>
  <c r="W499" i="54"/>
  <c r="X499" i="54" s="1"/>
  <c r="P499" i="54" s="1"/>
  <c r="W504" i="54"/>
  <c r="X504" i="54" s="1"/>
  <c r="P504" i="54" s="1"/>
  <c r="V498" i="54"/>
  <c r="W498" i="54"/>
  <c r="W491" i="54"/>
  <c r="W486" i="54"/>
  <c r="W489" i="54"/>
  <c r="V489" i="54"/>
  <c r="W487" i="54"/>
  <c r="W482" i="54"/>
  <c r="V487" i="54"/>
  <c r="V482" i="54"/>
  <c r="W488" i="54"/>
  <c r="X488" i="54" s="1"/>
  <c r="P488" i="54" s="1"/>
  <c r="W483" i="54"/>
  <c r="X483" i="54" s="1"/>
  <c r="P483" i="54" s="1"/>
  <c r="W484" i="54"/>
  <c r="X484" i="54" s="1"/>
  <c r="P484" i="54" s="1"/>
  <c r="F461" i="54"/>
  <c r="L461" i="54" s="1"/>
  <c r="V461" i="54" s="1"/>
  <c r="F463" i="54"/>
  <c r="L463" i="54" s="1"/>
  <c r="V463" i="54" s="1"/>
  <c r="L460" i="54"/>
  <c r="F464" i="54"/>
  <c r="L464" i="54" s="1"/>
  <c r="W464" i="54" s="1"/>
  <c r="V446" i="54"/>
  <c r="W450" i="54"/>
  <c r="V449" i="54"/>
  <c r="W449" i="54"/>
  <c r="P449" i="54"/>
  <c r="AE449" i="54" s="1"/>
  <c r="AF449" i="54" s="1"/>
  <c r="V448" i="54"/>
  <c r="W448" i="54"/>
  <c r="P448" i="54"/>
  <c r="AE448" i="54" s="1"/>
  <c r="AF448" i="54" s="1"/>
  <c r="P447" i="54"/>
  <c r="AE447" i="54" s="1"/>
  <c r="AF447" i="54" s="1"/>
  <c r="V447" i="54"/>
  <c r="W447" i="54"/>
  <c r="W446" i="54"/>
  <c r="P436" i="54"/>
  <c r="E549" i="54" s="1"/>
  <c r="Y549" i="54" s="1"/>
  <c r="O419" i="54"/>
  <c r="P419" i="54" s="1"/>
  <c r="E538" i="54" s="1"/>
  <c r="Y538" i="54" s="1"/>
  <c r="T389" i="54"/>
  <c r="B387" i="54" s="1"/>
  <c r="E528" i="54"/>
  <c r="P386" i="54"/>
  <c r="E529" i="54" s="1"/>
  <c r="AM530" i="54" s="1"/>
  <c r="P389" i="54"/>
  <c r="E532" i="54" s="1"/>
  <c r="AP530" i="54" s="1"/>
  <c r="P388" i="54"/>
  <c r="E531" i="54" s="1"/>
  <c r="AO530" i="54" s="1"/>
  <c r="V138" i="54"/>
  <c r="R138" i="54"/>
  <c r="R74" i="54"/>
  <c r="V74" i="54"/>
  <c r="V216" i="54"/>
  <c r="R216" i="54"/>
  <c r="V291" i="54"/>
  <c r="R291" i="54"/>
  <c r="P84" i="54"/>
  <c r="E139" i="54" s="1"/>
  <c r="R63" i="54"/>
  <c r="V63" i="54"/>
  <c r="R65" i="54"/>
  <c r="V65" i="54"/>
  <c r="V64" i="54"/>
  <c r="R64" i="54"/>
  <c r="Y99" i="54"/>
  <c r="V99" i="54" s="1"/>
  <c r="AY20" i="55" s="1"/>
  <c r="AZ20" i="55" s="1"/>
  <c r="BA20" i="55" s="1"/>
  <c r="I99" i="54" s="1"/>
  <c r="Y95" i="54"/>
  <c r="V95" i="54" s="1"/>
  <c r="AY16" i="55" s="1"/>
  <c r="AZ16" i="55" s="1"/>
  <c r="BA16" i="55" s="1"/>
  <c r="I95" i="54" s="1"/>
  <c r="R98" i="54" s="1"/>
  <c r="I91" i="54"/>
  <c r="X471" i="54" l="1"/>
  <c r="P471" i="54" s="1"/>
  <c r="T353" i="52"/>
  <c r="T354" i="52"/>
  <c r="T355" i="52"/>
  <c r="T203" i="52"/>
  <c r="X479" i="52"/>
  <c r="G31" i="39"/>
  <c r="N14" i="39"/>
  <c r="T50" i="34"/>
  <c r="O21" i="46"/>
  <c r="L631" i="54"/>
  <c r="M52" i="46"/>
  <c r="L498" i="48"/>
  <c r="L498" i="50"/>
  <c r="L497" i="50"/>
  <c r="I20" i="54"/>
  <c r="AZ3" i="55"/>
  <c r="BA3" i="55" s="1"/>
  <c r="I19" i="54" s="1"/>
  <c r="R22"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G16" i="27"/>
  <c r="G20" i="27"/>
  <c r="E20" i="27"/>
  <c r="X11" i="27" s="1"/>
  <c r="X33" i="27" s="1"/>
  <c r="L496" i="48"/>
  <c r="L497" i="48"/>
  <c r="N62" i="60"/>
  <c r="N54" i="60"/>
  <c r="L635" i="54"/>
  <c r="K39" i="37"/>
  <c r="S39" i="37" s="1"/>
  <c r="U19" i="30"/>
  <c r="V19" i="30" s="1"/>
  <c r="P21" i="30" s="1"/>
  <c r="U65" i="25"/>
  <c r="V65" i="25" s="1"/>
  <c r="U66" i="25" s="1"/>
  <c r="V66" i="25" s="1"/>
  <c r="U67" i="25" s="1"/>
  <c r="V67" i="25" s="1"/>
  <c r="U68" i="25" s="1"/>
  <c r="V68" i="25" s="1"/>
  <c r="U69" i="25" s="1"/>
  <c r="V69" i="25" s="1"/>
  <c r="U70" i="25" s="1"/>
  <c r="V70" i="25" s="1"/>
  <c r="U71" i="25" s="1"/>
  <c r="V71" i="25" s="1"/>
  <c r="U72" i="25" s="1"/>
  <c r="V72" i="25" s="1"/>
  <c r="U73" i="25" s="1"/>
  <c r="V73" i="25" s="1"/>
  <c r="U74" i="25" s="1"/>
  <c r="V74" i="25" s="1"/>
  <c r="U75" i="25" s="1"/>
  <c r="V75" i="25" s="1"/>
  <c r="U76" i="25" s="1"/>
  <c r="V76" i="25" s="1"/>
  <c r="U77" i="25" s="1"/>
  <c r="V77" i="25" s="1"/>
  <c r="P79" i="25" s="1"/>
  <c r="C57" i="60"/>
  <c r="U17" i="31"/>
  <c r="V17" i="31" s="1"/>
  <c r="C50" i="60"/>
  <c r="K88" i="37"/>
  <c r="S87" i="37" s="1"/>
  <c r="P125" i="37"/>
  <c r="G140" i="37" s="1"/>
  <c r="AH24" i="37"/>
  <c r="AK24" i="37" s="1"/>
  <c r="N25" i="37" s="1"/>
  <c r="P31" i="37" s="1"/>
  <c r="G46" i="37" s="1"/>
  <c r="AH39" i="37" s="1"/>
  <c r="P81" i="37"/>
  <c r="G99" i="37" s="1"/>
  <c r="AR87" i="37" s="1"/>
  <c r="E18" i="41"/>
  <c r="G14" i="41"/>
  <c r="G16" i="41"/>
  <c r="G10" i="41"/>
  <c r="G18" i="41"/>
  <c r="E12" i="41"/>
  <c r="E10" i="41"/>
  <c r="G12" i="41"/>
  <c r="G20" i="41"/>
  <c r="E20" i="41"/>
  <c r="E16" i="41"/>
  <c r="E14" i="41"/>
  <c r="T49" i="40"/>
  <c r="T51" i="34"/>
  <c r="T47" i="34"/>
  <c r="T49" i="34"/>
  <c r="T53" i="34"/>
  <c r="T48" i="34"/>
  <c r="G14" i="40"/>
  <c r="E14" i="40"/>
  <c r="E8" i="34"/>
  <c r="E10" i="40"/>
  <c r="E8" i="40"/>
  <c r="G18" i="40"/>
  <c r="G12" i="40"/>
  <c r="G10" i="40"/>
  <c r="E16" i="40"/>
  <c r="G16" i="40"/>
  <c r="G10" i="34"/>
  <c r="G8" i="34"/>
  <c r="E12" i="34"/>
  <c r="E10" i="34"/>
  <c r="E18" i="34"/>
  <c r="G14" i="34"/>
  <c r="E16" i="34"/>
  <c r="G18" i="34"/>
  <c r="E14" i="34"/>
  <c r="G16" i="34"/>
  <c r="G12" i="34"/>
  <c r="L632" i="52"/>
  <c r="L634" i="52"/>
  <c r="L636" i="52"/>
  <c r="Z94" i="44"/>
  <c r="L633" i="52"/>
  <c r="L630" i="52"/>
  <c r="L636" i="54"/>
  <c r="L635" i="52"/>
  <c r="L494" i="48"/>
  <c r="M44" i="46"/>
  <c r="L495" i="50"/>
  <c r="Z85" i="44"/>
  <c r="AE85" i="44" s="1"/>
  <c r="L494" i="50"/>
  <c r="L499" i="50"/>
  <c r="L493" i="50"/>
  <c r="M45" i="46"/>
  <c r="AR28" i="44"/>
  <c r="L634" i="54"/>
  <c r="L496" i="50"/>
  <c r="L493" i="48"/>
  <c r="L633" i="54"/>
  <c r="L631" i="52"/>
  <c r="AM23" i="44"/>
  <c r="AM25" i="44"/>
  <c r="U5" i="23"/>
  <c r="V5" i="23" s="1"/>
  <c r="U6" i="23" s="1"/>
  <c r="V6" i="23" s="1"/>
  <c r="U7" i="23" s="1"/>
  <c r="V7" i="23" s="1"/>
  <c r="U8" i="23" s="1"/>
  <c r="V8" i="23" s="1"/>
  <c r="U9" i="23" s="1"/>
  <c r="V9" i="23" s="1"/>
  <c r="U10" i="23" s="1"/>
  <c r="V10" i="23" s="1"/>
  <c r="P12" i="23" s="1"/>
  <c r="U6" i="32"/>
  <c r="V6" i="32" s="1"/>
  <c r="U7" i="32" s="1"/>
  <c r="V7" i="32" s="1"/>
  <c r="U8" i="32" s="1"/>
  <c r="V8" i="32" s="1"/>
  <c r="U9" i="32" s="1"/>
  <c r="V9" i="32" s="1"/>
  <c r="U10" i="32" s="1"/>
  <c r="V10" i="32" s="1"/>
  <c r="U11" i="32" s="1"/>
  <c r="V11" i="32" s="1"/>
  <c r="U12" i="32" s="1"/>
  <c r="V12" i="32" s="1"/>
  <c r="U13" i="32" s="1"/>
  <c r="V13" i="32" s="1"/>
  <c r="U14" i="32" s="1"/>
  <c r="V14" i="32" s="1"/>
  <c r="U15" i="32" s="1"/>
  <c r="V15" i="32" s="1"/>
  <c r="P17" i="32" s="1"/>
  <c r="L499" i="48"/>
  <c r="G9" i="39"/>
  <c r="G36" i="39"/>
  <c r="G25" i="39"/>
  <c r="G17" i="39"/>
  <c r="G24" i="39"/>
  <c r="G34" i="39"/>
  <c r="G32" i="39"/>
  <c r="G26" i="39"/>
  <c r="G14" i="39"/>
  <c r="G23" i="39"/>
  <c r="N32" i="39"/>
  <c r="O8" i="44"/>
  <c r="AF10" i="44"/>
  <c r="AF12" i="44" s="1"/>
  <c r="AF14" i="44" s="1"/>
  <c r="X285" i="48"/>
  <c r="P285" i="48" s="1"/>
  <c r="AE285" i="48" s="1"/>
  <c r="AF285" i="48" s="1"/>
  <c r="AS27" i="44"/>
  <c r="AR24" i="44"/>
  <c r="AM24" i="44"/>
  <c r="AP30" i="44"/>
  <c r="K32" i="44" s="1"/>
  <c r="Z397" i="48"/>
  <c r="AA397" i="48" s="1"/>
  <c r="E223" i="48"/>
  <c r="G231" i="48"/>
  <c r="G223" i="48"/>
  <c r="R22" i="52"/>
  <c r="O22" i="52" s="1"/>
  <c r="E401" i="54"/>
  <c r="E407" i="54"/>
  <c r="E405" i="54"/>
  <c r="G407" i="54"/>
  <c r="R179" i="54"/>
  <c r="AI39" i="54"/>
  <c r="AM39" i="54"/>
  <c r="U39" i="54"/>
  <c r="Z39" i="54" s="1"/>
  <c r="AS39" i="54" s="1"/>
  <c r="AD39" i="54"/>
  <c r="P479" i="54"/>
  <c r="AP272" i="54"/>
  <c r="AC115" i="54"/>
  <c r="BK115" i="54" s="1"/>
  <c r="W496" i="54"/>
  <c r="U126" i="54"/>
  <c r="V126" i="54" s="1"/>
  <c r="U127" i="54" s="1"/>
  <c r="V127" i="54" s="1"/>
  <c r="P125" i="54" s="1"/>
  <c r="E147" i="54" s="1"/>
  <c r="X469" i="54"/>
  <c r="P469" i="54" s="1"/>
  <c r="AQ115" i="54"/>
  <c r="BA349" i="54"/>
  <c r="U349" i="54"/>
  <c r="BE349" i="54"/>
  <c r="AV349" i="54"/>
  <c r="AI349" i="54"/>
  <c r="AP349" i="54"/>
  <c r="W457" i="54"/>
  <c r="X457" i="54" s="1"/>
  <c r="P457" i="54" s="1"/>
  <c r="AW344" i="54"/>
  <c r="AJ344" i="54"/>
  <c r="AQ344" i="54"/>
  <c r="BB344" i="54"/>
  <c r="V344" i="54"/>
  <c r="U272" i="54"/>
  <c r="AJ115" i="54"/>
  <c r="AW115" i="54"/>
  <c r="U343" i="54"/>
  <c r="AP343" i="54"/>
  <c r="AV343" i="54"/>
  <c r="BE343" i="54"/>
  <c r="AI343" i="54"/>
  <c r="BA343" i="54"/>
  <c r="Y39" i="54"/>
  <c r="AJ35" i="54"/>
  <c r="AE35" i="54"/>
  <c r="V73" i="54"/>
  <c r="Y73" i="54"/>
  <c r="AA38" i="54"/>
  <c r="AT38" i="54" s="1"/>
  <c r="AD121" i="54"/>
  <c r="BL121" i="54" s="1"/>
  <c r="AX121" i="54"/>
  <c r="V454" i="54"/>
  <c r="X454" i="54" s="1"/>
  <c r="R215" i="54"/>
  <c r="V215" i="54"/>
  <c r="V495" i="54"/>
  <c r="W468" i="54"/>
  <c r="X468" i="54" s="1"/>
  <c r="P468" i="54" s="1"/>
  <c r="P454" i="54"/>
  <c r="AR121" i="54"/>
  <c r="W121" i="54"/>
  <c r="AE121" i="54" s="1"/>
  <c r="BM121" i="54" s="1"/>
  <c r="X474" i="54"/>
  <c r="P474" i="54" s="1"/>
  <c r="W467" i="54"/>
  <c r="P467" i="54"/>
  <c r="V467" i="54"/>
  <c r="V481" i="54"/>
  <c r="X481" i="54" s="1"/>
  <c r="P481" i="54" s="1"/>
  <c r="W490" i="54"/>
  <c r="X490" i="54" s="1"/>
  <c r="P490" i="54" s="1"/>
  <c r="W495" i="54"/>
  <c r="V35" i="54"/>
  <c r="AF35" i="54" s="1"/>
  <c r="AB343" i="54"/>
  <c r="BJ343" i="54" s="1"/>
  <c r="AW267" i="54"/>
  <c r="V267" i="54"/>
  <c r="G403" i="54"/>
  <c r="U116" i="54"/>
  <c r="AI116" i="54"/>
  <c r="BE116" i="54"/>
  <c r="AP116" i="54"/>
  <c r="AV116" i="54"/>
  <c r="BA116" i="54"/>
  <c r="V476" i="54"/>
  <c r="W476" i="54"/>
  <c r="AC344" i="54"/>
  <c r="BK344" i="54" s="1"/>
  <c r="AB349" i="54"/>
  <c r="BJ349" i="54" s="1"/>
  <c r="W122" i="54"/>
  <c r="AK122" i="54"/>
  <c r="AX122" i="54"/>
  <c r="R386" i="48"/>
  <c r="R387" i="48" s="1"/>
  <c r="P388" i="48" s="1"/>
  <c r="E451" i="48" s="1"/>
  <c r="Y451" i="48" s="1"/>
  <c r="G229" i="48"/>
  <c r="J174" i="48"/>
  <c r="R178" i="48" s="1"/>
  <c r="R58" i="48"/>
  <c r="O58" i="48" s="1"/>
  <c r="R98" i="48"/>
  <c r="O98" i="48" s="1"/>
  <c r="R138" i="48"/>
  <c r="O138" i="48" s="1"/>
  <c r="W291" i="48"/>
  <c r="V291" i="48"/>
  <c r="W316" i="48"/>
  <c r="X316" i="48" s="1"/>
  <c r="P316" i="48" s="1"/>
  <c r="E229" i="48"/>
  <c r="E231" i="48"/>
  <c r="E225" i="48"/>
  <c r="V288" i="48"/>
  <c r="X288" i="48" s="1"/>
  <c r="P288" i="48" s="1"/>
  <c r="V322" i="48"/>
  <c r="X322" i="48" s="1"/>
  <c r="P322" i="48" s="1"/>
  <c r="W331" i="48"/>
  <c r="X331" i="48" s="1"/>
  <c r="P331" i="48" s="1"/>
  <c r="B335" i="48"/>
  <c r="G225" i="48"/>
  <c r="V323" i="48"/>
  <c r="X323" i="48" s="1"/>
  <c r="P323" i="48" s="1"/>
  <c r="V315" i="48"/>
  <c r="X315" i="48" s="1"/>
  <c r="P315" i="48" s="1"/>
  <c r="W326" i="48"/>
  <c r="V300" i="48"/>
  <c r="V295" i="48"/>
  <c r="X295" i="48" s="1"/>
  <c r="P295" i="48" s="1"/>
  <c r="X332" i="48"/>
  <c r="P332" i="48" s="1"/>
  <c r="R20" i="48"/>
  <c r="O20" i="48" s="1"/>
  <c r="E20" i="48"/>
  <c r="J382" i="50"/>
  <c r="W323" i="50"/>
  <c r="V288" i="50"/>
  <c r="X336" i="50"/>
  <c r="P336" i="50" s="1"/>
  <c r="AE293" i="50" s="1"/>
  <c r="AF293" i="50" s="1"/>
  <c r="W319" i="50"/>
  <c r="X319" i="50" s="1"/>
  <c r="P319" i="50" s="1"/>
  <c r="E563" i="52"/>
  <c r="E569" i="52"/>
  <c r="G396" i="52"/>
  <c r="R102" i="54"/>
  <c r="O102" i="54" s="1"/>
  <c r="G396" i="54"/>
  <c r="E403" i="54"/>
  <c r="AC403" i="54" s="1"/>
  <c r="AA535" i="54" s="1"/>
  <c r="G405" i="54"/>
  <c r="AD248" i="54"/>
  <c r="AD323" i="54"/>
  <c r="AD172" i="54"/>
  <c r="I23" i="54"/>
  <c r="R26" i="54" s="1"/>
  <c r="O26" i="54" s="1"/>
  <c r="R20" i="50"/>
  <c r="O20" i="50" s="1"/>
  <c r="Z12" i="50" s="1"/>
  <c r="Y20" i="50" s="1"/>
  <c r="I99" i="52"/>
  <c r="R102" i="52" s="1"/>
  <c r="O102" i="52" s="1"/>
  <c r="I23" i="52"/>
  <c r="R26" i="52" s="1"/>
  <c r="O26" i="52" s="1"/>
  <c r="I244" i="54"/>
  <c r="R247" i="54" s="1"/>
  <c r="O247" i="54" s="1"/>
  <c r="R94" i="54"/>
  <c r="O94" i="54" s="1"/>
  <c r="N9" i="63"/>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N24" i="63" s="1"/>
  <c r="O24" i="63" s="1"/>
  <c r="N25" i="63" s="1"/>
  <c r="O25" i="63" s="1"/>
  <c r="D10"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T97" i="34" s="1"/>
  <c r="E18" i="40"/>
  <c r="T54" i="40"/>
  <c r="T50" i="40"/>
  <c r="T47" i="40"/>
  <c r="T52" i="40"/>
  <c r="T48" i="40"/>
  <c r="T51" i="40"/>
  <c r="T53" i="40"/>
  <c r="K133" i="37"/>
  <c r="S132" i="37" s="1"/>
  <c r="AD132" i="37"/>
  <c r="O10" i="44"/>
  <c r="C37" i="60"/>
  <c r="N37" i="60" s="1"/>
  <c r="S23" i="46"/>
  <c r="I21" i="46" s="1"/>
  <c r="AL530" i="54"/>
  <c r="E380" i="48"/>
  <c r="G380" i="48" s="1"/>
  <c r="E378" i="48"/>
  <c r="V298" i="48"/>
  <c r="X298" i="48" s="1"/>
  <c r="P298" i="48" s="1"/>
  <c r="X294" i="48"/>
  <c r="P294" i="48" s="1"/>
  <c r="V293" i="48"/>
  <c r="X293" i="48" s="1"/>
  <c r="P293" i="48" s="1"/>
  <c r="V302" i="48"/>
  <c r="X302" i="48" s="1"/>
  <c r="P302" i="48" s="1"/>
  <c r="W301" i="48"/>
  <c r="X301" i="48" s="1"/>
  <c r="P301" i="48" s="1"/>
  <c r="X309" i="48"/>
  <c r="P309" i="48" s="1"/>
  <c r="X329" i="48"/>
  <c r="P329" i="48" s="1"/>
  <c r="AE290" i="48" s="1"/>
  <c r="AF290" i="48" s="1"/>
  <c r="X291" i="48"/>
  <c r="P291" i="48" s="1"/>
  <c r="Z398" i="48"/>
  <c r="AA398" i="48" s="1"/>
  <c r="P401" i="48" s="1"/>
  <c r="E453" i="48" s="1"/>
  <c r="Y453" i="48" s="1"/>
  <c r="X308" i="48"/>
  <c r="P308" i="48" s="1"/>
  <c r="X287" i="48"/>
  <c r="P287" i="48" s="1"/>
  <c r="P257" i="48"/>
  <c r="E364" i="48" s="1"/>
  <c r="Y364" i="48" s="1"/>
  <c r="B26" i="48"/>
  <c r="P62" i="48"/>
  <c r="E75" i="48" s="1"/>
  <c r="W75" i="48" s="1"/>
  <c r="W334" i="48"/>
  <c r="B457" i="48"/>
  <c r="C412" i="48"/>
  <c r="E457" i="48"/>
  <c r="S457" i="48" s="1"/>
  <c r="B456" i="48"/>
  <c r="V334" i="48"/>
  <c r="X317" i="48"/>
  <c r="P317" i="48" s="1"/>
  <c r="B328" i="48"/>
  <c r="X290" i="48"/>
  <c r="P290" i="48" s="1"/>
  <c r="V297" i="48"/>
  <c r="X297" i="48" s="1"/>
  <c r="P297" i="48" s="1"/>
  <c r="X324" i="48"/>
  <c r="P324" i="48" s="1"/>
  <c r="X333" i="48"/>
  <c r="P333" i="48" s="1"/>
  <c r="X310" i="48"/>
  <c r="P310" i="48" s="1"/>
  <c r="W321" i="48"/>
  <c r="X321" i="48" s="1"/>
  <c r="P321" i="48" s="1"/>
  <c r="X283" i="48"/>
  <c r="P283" i="48" s="1"/>
  <c r="AE283" i="48" s="1"/>
  <c r="AF283" i="48" s="1"/>
  <c r="X311" i="48"/>
  <c r="P311" i="48" s="1"/>
  <c r="B64" i="48"/>
  <c r="P142" i="48"/>
  <c r="E155" i="48" s="1"/>
  <c r="W155" i="48" s="1"/>
  <c r="B184" i="48"/>
  <c r="P143" i="48"/>
  <c r="E156" i="48" s="1"/>
  <c r="W156" i="48" s="1"/>
  <c r="B144" i="48"/>
  <c r="X327" i="48"/>
  <c r="P327" i="48" s="1"/>
  <c r="X325" i="48"/>
  <c r="P325" i="48" s="1"/>
  <c r="X336" i="48"/>
  <c r="P336" i="48" s="1"/>
  <c r="AE293" i="48" s="1"/>
  <c r="AF293" i="48" s="1"/>
  <c r="X314" i="48"/>
  <c r="P314" i="48" s="1"/>
  <c r="P25" i="48"/>
  <c r="E37" i="48" s="1"/>
  <c r="W37" i="48" s="1"/>
  <c r="X326" i="48"/>
  <c r="P326" i="48" s="1"/>
  <c r="X282" i="48"/>
  <c r="P282" i="48" s="1"/>
  <c r="AE282" i="48" s="1"/>
  <c r="AF282" i="48" s="1"/>
  <c r="W296" i="48"/>
  <c r="V296" i="48"/>
  <c r="X300" i="48"/>
  <c r="P300" i="48" s="1"/>
  <c r="X284" i="48"/>
  <c r="P284" i="48" s="1"/>
  <c r="AE284" i="48" s="1"/>
  <c r="AF284" i="48" s="1"/>
  <c r="X289" i="48"/>
  <c r="P289" i="48" s="1"/>
  <c r="X312" i="48"/>
  <c r="P312" i="48" s="1"/>
  <c r="X313" i="48"/>
  <c r="P313" i="48" s="1"/>
  <c r="Y341" i="48"/>
  <c r="E195" i="48"/>
  <c r="W195" i="48" s="1"/>
  <c r="P24" i="48"/>
  <c r="E36" i="48" s="1"/>
  <c r="W36" i="48" s="1"/>
  <c r="B104" i="48"/>
  <c r="P103" i="48"/>
  <c r="E116" i="48" s="1"/>
  <c r="W116" i="48" s="1"/>
  <c r="P102" i="48"/>
  <c r="E115" i="48" s="1"/>
  <c r="W115" i="48" s="1"/>
  <c r="E196" i="48"/>
  <c r="W196" i="48" s="1"/>
  <c r="O15" i="48"/>
  <c r="J387" i="50"/>
  <c r="J377" i="50"/>
  <c r="J230" i="50"/>
  <c r="J224" i="50"/>
  <c r="J56" i="50"/>
  <c r="R58" i="50" s="1"/>
  <c r="O58" i="50" s="1"/>
  <c r="Z53" i="50" s="1"/>
  <c r="Y59" i="50" s="1"/>
  <c r="E567" i="52"/>
  <c r="G565" i="52"/>
  <c r="G567" i="52"/>
  <c r="B328" i="50"/>
  <c r="W331" i="50"/>
  <c r="B335" i="50"/>
  <c r="V300" i="50"/>
  <c r="X300" i="50" s="1"/>
  <c r="P300" i="50" s="1"/>
  <c r="W297" i="50"/>
  <c r="X297" i="50" s="1"/>
  <c r="P297" i="50" s="1"/>
  <c r="V334" i="50"/>
  <c r="X334" i="50" s="1"/>
  <c r="P334" i="50" s="1"/>
  <c r="W308" i="50"/>
  <c r="X308" i="50" s="1"/>
  <c r="P308" i="50" s="1"/>
  <c r="W312" i="50"/>
  <c r="X312" i="50" s="1"/>
  <c r="P312" i="50" s="1"/>
  <c r="V287" i="50"/>
  <c r="V302" i="50"/>
  <c r="X302" i="50" s="1"/>
  <c r="P302" i="50" s="1"/>
  <c r="V331" i="50"/>
  <c r="X287" i="50"/>
  <c r="P287" i="50" s="1"/>
  <c r="P257" i="50"/>
  <c r="E364" i="50" s="1"/>
  <c r="Y364" i="50" s="1"/>
  <c r="W327" i="50"/>
  <c r="X327" i="50" s="1"/>
  <c r="P327" i="50" s="1"/>
  <c r="V301" i="50"/>
  <c r="X301" i="50" s="1"/>
  <c r="P301" i="50" s="1"/>
  <c r="V310" i="50"/>
  <c r="X310" i="50" s="1"/>
  <c r="P310" i="50" s="1"/>
  <c r="V290" i="50"/>
  <c r="X290" i="50" s="1"/>
  <c r="P290" i="50" s="1"/>
  <c r="X283" i="50"/>
  <c r="P283" i="50" s="1"/>
  <c r="AE283" i="50" s="1"/>
  <c r="AF283" i="50" s="1"/>
  <c r="V316" i="50"/>
  <c r="X316" i="50" s="1"/>
  <c r="P316" i="50" s="1"/>
  <c r="X282" i="50"/>
  <c r="P282" i="50" s="1"/>
  <c r="AE282" i="50" s="1"/>
  <c r="AF282" i="50" s="1"/>
  <c r="E378" i="50"/>
  <c r="G378" i="50" s="1"/>
  <c r="V295" i="50"/>
  <c r="X295" i="50" s="1"/>
  <c r="P295" i="50" s="1"/>
  <c r="E380" i="50"/>
  <c r="G380" i="50" s="1"/>
  <c r="V325" i="50"/>
  <c r="X325" i="50" s="1"/>
  <c r="P325" i="50" s="1"/>
  <c r="U436" i="50"/>
  <c r="P430" i="50" s="1"/>
  <c r="E467" i="50" s="1"/>
  <c r="Y467" i="50" s="1"/>
  <c r="V313" i="50"/>
  <c r="X313" i="50" s="1"/>
  <c r="P313" i="50" s="1"/>
  <c r="W333" i="50"/>
  <c r="X333" i="50" s="1"/>
  <c r="P333" i="50" s="1"/>
  <c r="X330" i="50"/>
  <c r="P330" i="50" s="1"/>
  <c r="AE291" i="50" s="1"/>
  <c r="AF291" i="50" s="1"/>
  <c r="W309" i="50"/>
  <c r="V309" i="50"/>
  <c r="Y399" i="50"/>
  <c r="W296" i="50"/>
  <c r="X296" i="50" s="1"/>
  <c r="P296" i="50" s="1"/>
  <c r="Y398" i="50"/>
  <c r="C412" i="50"/>
  <c r="V314" i="50"/>
  <c r="X314" i="50" s="1"/>
  <c r="P314" i="50" s="1"/>
  <c r="E457" i="50"/>
  <c r="S457" i="50" s="1"/>
  <c r="X323" i="50"/>
  <c r="P323" i="50" s="1"/>
  <c r="V289" i="50"/>
  <c r="X289" i="50" s="1"/>
  <c r="P289" i="50" s="1"/>
  <c r="X285" i="50"/>
  <c r="P285" i="50" s="1"/>
  <c r="AE285" i="50" s="1"/>
  <c r="AF285" i="50" s="1"/>
  <c r="Y396" i="50"/>
  <c r="B457" i="50"/>
  <c r="V294" i="50"/>
  <c r="W294" i="50"/>
  <c r="E225" i="50"/>
  <c r="E223" i="50"/>
  <c r="V324" i="50"/>
  <c r="W324" i="50"/>
  <c r="V315" i="50"/>
  <c r="W315" i="50"/>
  <c r="X329" i="50"/>
  <c r="P329" i="50" s="1"/>
  <c r="AE290" i="50" s="1"/>
  <c r="AF290" i="50" s="1"/>
  <c r="V322" i="50"/>
  <c r="X322" i="50" s="1"/>
  <c r="P322" i="50" s="1"/>
  <c r="Y397" i="50"/>
  <c r="W291" i="50"/>
  <c r="X291" i="50" s="1"/>
  <c r="P291" i="50" s="1"/>
  <c r="W298" i="50"/>
  <c r="V298" i="50"/>
  <c r="W293" i="50"/>
  <c r="V293" i="50"/>
  <c r="W317" i="50"/>
  <c r="X317" i="50" s="1"/>
  <c r="P317" i="50" s="1"/>
  <c r="V332" i="50"/>
  <c r="X332" i="50" s="1"/>
  <c r="P332" i="50" s="1"/>
  <c r="V326" i="50"/>
  <c r="X326" i="50" s="1"/>
  <c r="P326" i="50" s="1"/>
  <c r="X281" i="50"/>
  <c r="P281" i="50" s="1"/>
  <c r="AE281" i="50" s="1"/>
  <c r="AF281" i="50" s="1"/>
  <c r="V321" i="50"/>
  <c r="W321" i="50"/>
  <c r="X288" i="50"/>
  <c r="P288" i="50" s="1"/>
  <c r="R98" i="50"/>
  <c r="B144" i="50"/>
  <c r="P142" i="50"/>
  <c r="E155" i="50" s="1"/>
  <c r="W155" i="50" s="1"/>
  <c r="P182" i="50"/>
  <c r="E195" i="50" s="1"/>
  <c r="W195" i="50" s="1"/>
  <c r="P143" i="50"/>
  <c r="E156" i="50" s="1"/>
  <c r="W156" i="50" s="1"/>
  <c r="P183" i="50"/>
  <c r="E196" i="50" s="1"/>
  <c r="W196" i="50" s="1"/>
  <c r="B184" i="50"/>
  <c r="P103" i="50"/>
  <c r="E116" i="50" s="1"/>
  <c r="W116" i="50" s="1"/>
  <c r="P102" i="50"/>
  <c r="E115" i="50" s="1"/>
  <c r="W115" i="50" s="1"/>
  <c r="B104" i="50"/>
  <c r="G569" i="52"/>
  <c r="B64" i="50"/>
  <c r="P62" i="50"/>
  <c r="E75" i="50" s="1"/>
  <c r="W75" i="50" s="1"/>
  <c r="P63" i="50"/>
  <c r="E76" i="50" s="1"/>
  <c r="W76" i="50" s="1"/>
  <c r="W121" i="52"/>
  <c r="AD121" i="52"/>
  <c r="BL121" i="52" s="1"/>
  <c r="AR120" i="52"/>
  <c r="AD120" i="52"/>
  <c r="BL120" i="52" s="1"/>
  <c r="AK120" i="52"/>
  <c r="AQ121" i="52"/>
  <c r="AA33" i="52"/>
  <c r="AT33" i="52" s="1"/>
  <c r="P460" i="52"/>
  <c r="V460" i="52"/>
  <c r="X460" i="52" s="1"/>
  <c r="V64" i="52"/>
  <c r="AJ121" i="52"/>
  <c r="W469" i="52"/>
  <c r="V496" i="52"/>
  <c r="G405" i="52"/>
  <c r="V34" i="52"/>
  <c r="AF34" i="52" s="1"/>
  <c r="AJ33" i="52"/>
  <c r="AI274" i="52"/>
  <c r="T51" i="52"/>
  <c r="U51" i="52" s="1"/>
  <c r="U52" i="52" s="1"/>
  <c r="P50" i="52" s="1"/>
  <c r="E73" i="52" s="1"/>
  <c r="U349" i="52"/>
  <c r="BB121" i="52"/>
  <c r="U127" i="52"/>
  <c r="V127" i="52" s="1"/>
  <c r="P125" i="52" s="1"/>
  <c r="E147" i="52" s="1"/>
  <c r="BA274" i="52"/>
  <c r="G563" i="52"/>
  <c r="V491" i="52"/>
  <c r="X491" i="52" s="1"/>
  <c r="P491" i="52" s="1"/>
  <c r="U353" i="52"/>
  <c r="V353" i="52" s="1"/>
  <c r="Z33" i="52"/>
  <c r="W462" i="52"/>
  <c r="V462" i="52"/>
  <c r="X462" i="52" s="1"/>
  <c r="P462" i="52" s="1"/>
  <c r="AE33" i="52"/>
  <c r="V35" i="52"/>
  <c r="AF35" i="52" s="1"/>
  <c r="AX120" i="52"/>
  <c r="AW121" i="52"/>
  <c r="T202" i="52"/>
  <c r="V490" i="52"/>
  <c r="X490" i="52" s="1"/>
  <c r="P490" i="52" s="1"/>
  <c r="U343" i="52"/>
  <c r="AC343" i="52" s="1"/>
  <c r="T204" i="52"/>
  <c r="V471" i="52"/>
  <c r="X471" i="52" s="1"/>
  <c r="P471" i="52" s="1"/>
  <c r="P25" i="50"/>
  <c r="E37" i="50" s="1"/>
  <c r="W37" i="50" s="1"/>
  <c r="P24" i="50"/>
  <c r="X284" i="50"/>
  <c r="P284" i="50" s="1"/>
  <c r="AE284" i="50" s="1"/>
  <c r="AF284" i="50" s="1"/>
  <c r="G229" i="50"/>
  <c r="G231" i="50"/>
  <c r="S342" i="50"/>
  <c r="E229" i="50"/>
  <c r="V311" i="50"/>
  <c r="W311" i="50"/>
  <c r="E231" i="50"/>
  <c r="R178" i="50"/>
  <c r="O178" i="50" s="1"/>
  <c r="Z173" i="50" s="1"/>
  <c r="Y179" i="50" s="1"/>
  <c r="Z178" i="50" s="1"/>
  <c r="R138" i="50"/>
  <c r="O15" i="50"/>
  <c r="E405" i="52"/>
  <c r="E397" i="52"/>
  <c r="I327" i="54"/>
  <c r="R62" i="54"/>
  <c r="V62" i="54"/>
  <c r="R63" i="52"/>
  <c r="G569" i="54"/>
  <c r="BE192" i="52"/>
  <c r="AP192" i="52"/>
  <c r="AB192" i="52"/>
  <c r="BJ192" i="52" s="1"/>
  <c r="BA192" i="52"/>
  <c r="AI192" i="52"/>
  <c r="AV192" i="52"/>
  <c r="E396" i="52"/>
  <c r="X450" i="52"/>
  <c r="AP342" i="52"/>
  <c r="W485" i="52"/>
  <c r="X485" i="52" s="1"/>
  <c r="P485" i="52" s="1"/>
  <c r="X448" i="52"/>
  <c r="V456" i="52"/>
  <c r="W456" i="52"/>
  <c r="X489" i="52"/>
  <c r="P489" i="52" s="1"/>
  <c r="AP116" i="52"/>
  <c r="AI116" i="52"/>
  <c r="BE116" i="52"/>
  <c r="AV116" i="52"/>
  <c r="BA116" i="52"/>
  <c r="BE267" i="52"/>
  <c r="U268" i="52"/>
  <c r="BA267" i="52"/>
  <c r="AP267" i="52"/>
  <c r="AI267" i="52"/>
  <c r="U269" i="52"/>
  <c r="AC269" i="52" s="1"/>
  <c r="BK269" i="52" s="1"/>
  <c r="U267" i="52"/>
  <c r="AV267" i="52"/>
  <c r="R366" i="52"/>
  <c r="W480" i="52"/>
  <c r="X480" i="52" s="1"/>
  <c r="P480" i="52" s="1"/>
  <c r="V455" i="52"/>
  <c r="W455" i="52"/>
  <c r="AI347" i="52"/>
  <c r="U347" i="52"/>
  <c r="AC347" i="52" s="1"/>
  <c r="AV347" i="52"/>
  <c r="AP347" i="52"/>
  <c r="AP269" i="52"/>
  <c r="AI269" i="52"/>
  <c r="BA269" i="52"/>
  <c r="U202" i="52"/>
  <c r="V202" i="52" s="1"/>
  <c r="U354" i="52"/>
  <c r="V354" i="52" s="1"/>
  <c r="P352" i="52" s="1"/>
  <c r="E374" i="52" s="1"/>
  <c r="BA343" i="52"/>
  <c r="AP343" i="52"/>
  <c r="BE343" i="52"/>
  <c r="AI343" i="52"/>
  <c r="AV343" i="52"/>
  <c r="AB343" i="52"/>
  <c r="BJ343" i="52" s="1"/>
  <c r="AB344" i="52"/>
  <c r="BJ344" i="52" s="1"/>
  <c r="BA344" i="52"/>
  <c r="AP344" i="52"/>
  <c r="AV344" i="52"/>
  <c r="AI344" i="52"/>
  <c r="BE344" i="52"/>
  <c r="V467" i="52"/>
  <c r="X467" i="52" s="1"/>
  <c r="P467" i="52"/>
  <c r="U344" i="52"/>
  <c r="BE342" i="52"/>
  <c r="AV342" i="52"/>
  <c r="W495" i="52"/>
  <c r="W505" i="52"/>
  <c r="X505" i="52" s="1"/>
  <c r="P505" i="52" s="1"/>
  <c r="W484" i="52"/>
  <c r="V484" i="52"/>
  <c r="X484" i="52" s="1"/>
  <c r="P484" i="52" s="1"/>
  <c r="V365" i="52"/>
  <c r="AJ116" i="52"/>
  <c r="AQ116" i="52"/>
  <c r="AV268" i="52"/>
  <c r="AB268" i="52"/>
  <c r="BJ268" i="52" s="1"/>
  <c r="AI268" i="52"/>
  <c r="BE268" i="52"/>
  <c r="BA268" i="52"/>
  <c r="AP268" i="52"/>
  <c r="V139" i="52"/>
  <c r="AC116" i="52"/>
  <c r="BK116" i="52" s="1"/>
  <c r="AB116" i="52"/>
  <c r="AI342" i="52"/>
  <c r="V495" i="52"/>
  <c r="X495" i="52" s="1"/>
  <c r="X496" i="52"/>
  <c r="P496" i="52" s="1"/>
  <c r="T280" i="52"/>
  <c r="T279" i="52"/>
  <c r="U278" i="52" s="1"/>
  <c r="V278" i="52" s="1"/>
  <c r="BB115" i="52"/>
  <c r="AC115" i="52"/>
  <c r="BK115" i="52" s="1"/>
  <c r="V115" i="52"/>
  <c r="V117" i="52"/>
  <c r="AQ115" i="52"/>
  <c r="AJ115" i="52"/>
  <c r="AW115" i="52"/>
  <c r="V116" i="52"/>
  <c r="G565" i="54"/>
  <c r="G563" i="54"/>
  <c r="E563" i="54"/>
  <c r="G567" i="54"/>
  <c r="E567" i="54"/>
  <c r="E569" i="54"/>
  <c r="E565" i="54"/>
  <c r="V415" i="54"/>
  <c r="W415" i="54" s="1"/>
  <c r="P416" i="54" s="1"/>
  <c r="E537" i="54" s="1"/>
  <c r="Y537" i="54" s="1"/>
  <c r="BE342" i="54"/>
  <c r="AV342" i="54"/>
  <c r="AP342" i="54"/>
  <c r="AX348" i="54"/>
  <c r="W348" i="54"/>
  <c r="AE348" i="54" s="1"/>
  <c r="BM348" i="54" s="1"/>
  <c r="AK348" i="54"/>
  <c r="AR348" i="54"/>
  <c r="V500" i="54"/>
  <c r="X500" i="54" s="1"/>
  <c r="P500"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87" i="54"/>
  <c r="P487" i="54" s="1"/>
  <c r="X496" i="54"/>
  <c r="P496" i="54" s="1"/>
  <c r="AB342" i="54"/>
  <c r="BJ342" i="54" s="1"/>
  <c r="BK273" i="54"/>
  <c r="AJ269" i="54"/>
  <c r="AW269" i="54"/>
  <c r="V269" i="54"/>
  <c r="AD269" i="54" s="1"/>
  <c r="BL269" i="54" s="1"/>
  <c r="AQ269" i="54"/>
  <c r="BB269" i="54"/>
  <c r="AD33" i="54"/>
  <c r="U33" i="54"/>
  <c r="BE117" i="54"/>
  <c r="U117" i="54"/>
  <c r="AI117" i="54"/>
  <c r="AC117" i="54"/>
  <c r="BK117" i="54" s="1"/>
  <c r="AP117" i="54"/>
  <c r="AB117" i="54"/>
  <c r="BA117" i="54"/>
  <c r="AV117" i="54"/>
  <c r="BA342" i="54"/>
  <c r="AI198" i="54"/>
  <c r="AV198" i="54"/>
  <c r="BA198" i="54"/>
  <c r="U198" i="54"/>
  <c r="AP198" i="54"/>
  <c r="BE198" i="54"/>
  <c r="U203" i="54"/>
  <c r="V203" i="54" s="1"/>
  <c r="P201" i="54" s="1"/>
  <c r="E224" i="54" s="1"/>
  <c r="AL121" i="54"/>
  <c r="X121" i="54"/>
  <c r="AM121" i="54" s="1"/>
  <c r="AS121" i="54"/>
  <c r="BJ193" i="54"/>
  <c r="V503" i="54"/>
  <c r="X503" i="54" s="1"/>
  <c r="P503" i="54" s="1"/>
  <c r="V480" i="54"/>
  <c r="X480" i="54" s="1"/>
  <c r="P480" i="54" s="1"/>
  <c r="AI342" i="54"/>
  <c r="AB198" i="54"/>
  <c r="AI272" i="54"/>
  <c r="AV272" i="54"/>
  <c r="U354" i="54"/>
  <c r="V354" i="54" s="1"/>
  <c r="P352" i="54" s="1"/>
  <c r="E374" i="54" s="1"/>
  <c r="AB268" i="54"/>
  <c r="BJ197" i="54"/>
  <c r="AS273" i="54"/>
  <c r="AL273" i="54"/>
  <c r="X273" i="54"/>
  <c r="W479" i="54"/>
  <c r="AX274" i="54"/>
  <c r="AK274" i="54"/>
  <c r="AR274" i="54"/>
  <c r="W274" i="54"/>
  <c r="AB272" i="54"/>
  <c r="BJ272" i="54" s="1"/>
  <c r="AA40" i="54"/>
  <c r="AF40" i="54"/>
  <c r="W455" i="54"/>
  <c r="V455" i="54"/>
  <c r="X455" i="54" s="1"/>
  <c r="P455" i="54" s="1"/>
  <c r="P458" i="54" s="1"/>
  <c r="AE453" i="54" s="1"/>
  <c r="AF453" i="54" s="1"/>
  <c r="AD115" i="54"/>
  <c r="BL115" i="54" s="1"/>
  <c r="AK115" i="54"/>
  <c r="AX115" i="54"/>
  <c r="W115" i="54"/>
  <c r="AR197" i="54"/>
  <c r="W197" i="54"/>
  <c r="AE197" i="54" s="1"/>
  <c r="BM197" i="54" s="1"/>
  <c r="AX197" i="54"/>
  <c r="AK197" i="54"/>
  <c r="V485" i="54"/>
  <c r="X485" i="54" s="1"/>
  <c r="P485" i="54" s="1"/>
  <c r="AA35" i="54"/>
  <c r="AL193" i="54"/>
  <c r="AS193" i="54"/>
  <c r="X193" i="54"/>
  <c r="AM193" i="54" s="1"/>
  <c r="AA34" i="54"/>
  <c r="AT34" i="54" s="1"/>
  <c r="Y36" i="54"/>
  <c r="E397" i="54"/>
  <c r="E396" i="54"/>
  <c r="X500" i="52"/>
  <c r="P500" i="52" s="1"/>
  <c r="X504" i="52"/>
  <c r="P504" i="52" s="1"/>
  <c r="W462" i="54"/>
  <c r="X462" i="54" s="1"/>
  <c r="P462" i="54" s="1"/>
  <c r="X497" i="52"/>
  <c r="P497" i="52" s="1"/>
  <c r="X481" i="52"/>
  <c r="P481" i="52" s="1"/>
  <c r="AI38" i="52"/>
  <c r="U40" i="52"/>
  <c r="Y38" i="52"/>
  <c r="U38" i="52"/>
  <c r="Z38" i="52" s="1"/>
  <c r="AS38" i="52" s="1"/>
  <c r="AM38" i="52"/>
  <c r="AD38" i="52"/>
  <c r="U39" i="52"/>
  <c r="AW343" i="52"/>
  <c r="AJ343" i="52"/>
  <c r="BB343" i="52"/>
  <c r="AQ343" i="52"/>
  <c r="V470" i="52"/>
  <c r="W470" i="52"/>
  <c r="BJ116" i="52"/>
  <c r="G401" i="52"/>
  <c r="G403" i="52"/>
  <c r="G407" i="52"/>
  <c r="W498" i="52"/>
  <c r="V498" i="52"/>
  <c r="V486" i="52"/>
  <c r="W486" i="52"/>
  <c r="W468" i="52"/>
  <c r="V468" i="52"/>
  <c r="X468" i="52" s="1"/>
  <c r="P468" i="52" s="1"/>
  <c r="AJ35" i="52"/>
  <c r="AE35" i="52"/>
  <c r="AA35" i="52"/>
  <c r="AT35" i="52" s="1"/>
  <c r="Z35" i="52"/>
  <c r="AR34" i="52"/>
  <c r="X499" i="52"/>
  <c r="P499" i="52" s="1"/>
  <c r="U274" i="52"/>
  <c r="AP272" i="52"/>
  <c r="AI272" i="52"/>
  <c r="AV272" i="52"/>
  <c r="U272" i="52"/>
  <c r="U273" i="52"/>
  <c r="AB272" i="52"/>
  <c r="BE272" i="52"/>
  <c r="BA272" i="52"/>
  <c r="W476" i="52"/>
  <c r="V476" i="52"/>
  <c r="AS121" i="52"/>
  <c r="AL121" i="52"/>
  <c r="E401" i="52"/>
  <c r="V474" i="52"/>
  <c r="W474" i="52"/>
  <c r="BB122" i="52"/>
  <c r="AW122" i="52"/>
  <c r="AJ122" i="52"/>
  <c r="AD122" i="52"/>
  <c r="BL122" i="52" s="1"/>
  <c r="AQ122" i="52"/>
  <c r="AC122" i="52"/>
  <c r="BJ269" i="52"/>
  <c r="X464" i="52"/>
  <c r="P464" i="52" s="1"/>
  <c r="BJ347" i="52"/>
  <c r="V503" i="52"/>
  <c r="W503"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3" i="52"/>
  <c r="W473" i="52"/>
  <c r="AJ349" i="52"/>
  <c r="AW349" i="52"/>
  <c r="BB349" i="52"/>
  <c r="AQ349" i="52"/>
  <c r="AC349" i="52"/>
  <c r="X454" i="52"/>
  <c r="BJ342" i="52"/>
  <c r="V483" i="52"/>
  <c r="W483" i="52"/>
  <c r="X122" i="52"/>
  <c r="AM122" i="52" s="1"/>
  <c r="X121" i="52"/>
  <c r="AM121" i="52" s="1"/>
  <c r="X120" i="52"/>
  <c r="AM120" i="52" s="1"/>
  <c r="AS120" i="52"/>
  <c r="AL120" i="52"/>
  <c r="X482" i="52"/>
  <c r="P482" i="52" s="1"/>
  <c r="X461" i="52"/>
  <c r="P461" i="52" s="1"/>
  <c r="B465" i="52" s="1"/>
  <c r="X502" i="52"/>
  <c r="P502" i="52" s="1"/>
  <c r="BE193" i="52"/>
  <c r="AI193" i="52"/>
  <c r="AP193" i="52"/>
  <c r="AB193" i="52"/>
  <c r="AV193" i="52"/>
  <c r="BA193" i="52"/>
  <c r="AW348" i="52"/>
  <c r="AJ348" i="52"/>
  <c r="AQ348" i="52"/>
  <c r="BB348" i="52"/>
  <c r="AC348" i="52"/>
  <c r="BK121" i="52"/>
  <c r="R139" i="52"/>
  <c r="AQ196" i="52"/>
  <c r="V196" i="52"/>
  <c r="AD196" i="52" s="1"/>
  <c r="BL196" i="52" s="1"/>
  <c r="AJ196" i="52"/>
  <c r="BB196" i="52"/>
  <c r="V198" i="52"/>
  <c r="AW196" i="52"/>
  <c r="V197" i="52"/>
  <c r="AC196" i="52"/>
  <c r="W472" i="52"/>
  <c r="V472" i="52"/>
  <c r="X472" i="52" s="1"/>
  <c r="P472" i="52" s="1"/>
  <c r="V415" i="52"/>
  <c r="W415" i="52" s="1"/>
  <c r="P416" i="52" s="1"/>
  <c r="E537" i="52" s="1"/>
  <c r="Y537" i="52" s="1"/>
  <c r="AE121" i="52"/>
  <c r="BM121" i="52" s="1"/>
  <c r="AR39" i="52"/>
  <c r="AL122" i="52"/>
  <c r="AS122" i="52"/>
  <c r="AE122" i="52"/>
  <c r="BM122" i="52" s="1"/>
  <c r="V488" i="52"/>
  <c r="W488" i="52"/>
  <c r="X469" i="52"/>
  <c r="P469" i="52" s="1"/>
  <c r="O171" i="52"/>
  <c r="AA173" i="52" s="1"/>
  <c r="O255" i="52"/>
  <c r="AC249" i="52" s="1"/>
  <c r="L630" i="54"/>
  <c r="L632" i="54"/>
  <c r="O326" i="52"/>
  <c r="AB324" i="52" s="1"/>
  <c r="L495"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R366" i="54"/>
  <c r="Q55" i="60"/>
  <c r="G48" i="60"/>
  <c r="Q56" i="60"/>
  <c r="V366" i="54"/>
  <c r="O330" i="52"/>
  <c r="AC324" i="52" s="1"/>
  <c r="R61" i="52"/>
  <c r="V61" i="52"/>
  <c r="V65" i="52"/>
  <c r="R65" i="52"/>
  <c r="R62" i="52"/>
  <c r="V62" i="52"/>
  <c r="O94" i="52"/>
  <c r="AA96" i="52" s="1"/>
  <c r="O175" i="52"/>
  <c r="AB173" i="52" s="1"/>
  <c r="O179" i="52"/>
  <c r="O98" i="52"/>
  <c r="AB96" i="52" s="1"/>
  <c r="O322" i="52"/>
  <c r="AA324" i="52" s="1"/>
  <c r="O247" i="52"/>
  <c r="AA249" i="52" s="1"/>
  <c r="O251" i="52"/>
  <c r="AB249" i="52" s="1"/>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AW272" i="54"/>
  <c r="BB272" i="54"/>
  <c r="AJ272" i="54"/>
  <c r="AQ272" i="54"/>
  <c r="AJ342" i="54"/>
  <c r="V342" i="54"/>
  <c r="AW342" i="54"/>
  <c r="AQ342" i="54"/>
  <c r="BB342" i="54"/>
  <c r="AC342" i="54"/>
  <c r="BK342" i="54" s="1"/>
  <c r="BL347" i="54"/>
  <c r="AA350" i="54"/>
  <c r="X450" i="54"/>
  <c r="X446" i="54"/>
  <c r="P446" i="54" s="1"/>
  <c r="AE446" i="54" s="1"/>
  <c r="AF446" i="54" s="1"/>
  <c r="W461" i="54"/>
  <c r="X461" i="54" s="1"/>
  <c r="P461" i="54" s="1"/>
  <c r="B465" i="54" s="1"/>
  <c r="X498" i="54"/>
  <c r="P498" i="54" s="1"/>
  <c r="X495" i="54"/>
  <c r="X502" i="54"/>
  <c r="P502" i="54" s="1"/>
  <c r="X497" i="54"/>
  <c r="P497" i="54" s="1"/>
  <c r="X505" i="54"/>
  <c r="P505" i="54" s="1"/>
  <c r="X482" i="54"/>
  <c r="P482" i="54" s="1"/>
  <c r="X489" i="54"/>
  <c r="P489" i="54" s="1"/>
  <c r="X491" i="54"/>
  <c r="P491" i="54" s="1"/>
  <c r="X486" i="54"/>
  <c r="P486" i="54" s="1"/>
  <c r="X479" i="54"/>
  <c r="V464" i="54"/>
  <c r="X464" i="54" s="1"/>
  <c r="P464" i="54" s="1"/>
  <c r="V460" i="54"/>
  <c r="W460" i="54"/>
  <c r="W463" i="54"/>
  <c r="X463" i="54" s="1"/>
  <c r="P463" i="54" s="1"/>
  <c r="X449" i="54"/>
  <c r="X448" i="54"/>
  <c r="X447" i="54"/>
  <c r="O171" i="54"/>
  <c r="AA173" i="54" s="1"/>
  <c r="V139" i="54"/>
  <c r="R139" i="54"/>
  <c r="O175" i="54"/>
  <c r="AB173" i="54" s="1"/>
  <c r="O322" i="54"/>
  <c r="AA324" i="54" s="1"/>
  <c r="O251" i="54"/>
  <c r="AB249" i="54" s="1"/>
  <c r="O179" i="54"/>
  <c r="O326" i="54"/>
  <c r="AB324" i="54" s="1"/>
  <c r="O255" i="54"/>
  <c r="AC245" i="54" s="1"/>
  <c r="O98" i="54"/>
  <c r="AB92" i="54" s="1"/>
  <c r="V224" i="52" l="1"/>
  <c r="Y224" i="52"/>
  <c r="AM273" i="54"/>
  <c r="AF273" i="54"/>
  <c r="BN273" i="54" s="1"/>
  <c r="V374" i="52"/>
  <c r="Y374" i="52"/>
  <c r="V147" i="52"/>
  <c r="Y147" i="52"/>
  <c r="V73" i="52"/>
  <c r="Y73" i="52"/>
  <c r="V272" i="54"/>
  <c r="AC272" i="54"/>
  <c r="BK272" i="54" s="1"/>
  <c r="U18" i="31"/>
  <c r="V18" i="31" s="1"/>
  <c r="P16" i="31" s="1"/>
  <c r="AR31" i="44"/>
  <c r="AR32" i="44" s="1"/>
  <c r="Z40" i="37"/>
  <c r="W40" i="37"/>
  <c r="S40" i="37"/>
  <c r="V40" i="37"/>
  <c r="Y40" i="37"/>
  <c r="T40" i="37"/>
  <c r="AC40" i="37"/>
  <c r="AG40" i="37"/>
  <c r="AA40" i="37"/>
  <c r="C21" i="46"/>
  <c r="C48" i="39"/>
  <c r="S48" i="39" s="1"/>
  <c r="C58" i="60"/>
  <c r="C56" i="60"/>
  <c r="C46" i="39"/>
  <c r="S46" i="39" s="1"/>
  <c r="U88" i="37"/>
  <c r="AE88" i="37"/>
  <c r="Y88" i="37"/>
  <c r="AJ88" i="37"/>
  <c r="AI40" i="37"/>
  <c r="AB40" i="37"/>
  <c r="AH40" i="37"/>
  <c r="AF40" i="37"/>
  <c r="U40" i="37"/>
  <c r="X40" i="37"/>
  <c r="AE40" i="37"/>
  <c r="AD40" i="37"/>
  <c r="T88" i="37"/>
  <c r="AN88" i="37"/>
  <c r="AG88" i="37"/>
  <c r="AA88" i="37"/>
  <c r="W88" i="37"/>
  <c r="AR88" i="37"/>
  <c r="V88" i="37"/>
  <c r="X88" i="37"/>
  <c r="AO88" i="37"/>
  <c r="AQ88" i="37"/>
  <c r="AK88" i="37"/>
  <c r="S88" i="37"/>
  <c r="AM88" i="37"/>
  <c r="Z88" i="37"/>
  <c r="AF88" i="37"/>
  <c r="AB88" i="37"/>
  <c r="AC88" i="37"/>
  <c r="AI88" i="37"/>
  <c r="AP88" i="37"/>
  <c r="AL88" i="37"/>
  <c r="AS88" i="37"/>
  <c r="AD88" i="37"/>
  <c r="AH88" i="37"/>
  <c r="X11" i="41"/>
  <c r="X33" i="41" s="1"/>
  <c r="J32" i="41" s="1"/>
  <c r="X9" i="27"/>
  <c r="R21" i="27" s="1"/>
  <c r="R17" i="27" s="1"/>
  <c r="X9" i="40"/>
  <c r="X7" i="40" s="1"/>
  <c r="R19" i="40" s="1"/>
  <c r="R15" i="40" s="1"/>
  <c r="X9" i="34"/>
  <c r="Y91" i="34" s="1"/>
  <c r="AM32" i="44"/>
  <c r="N26" i="44" s="1"/>
  <c r="AO32" i="44"/>
  <c r="AP15" i="44"/>
  <c r="AQ15" i="44" s="1"/>
  <c r="AP16" i="44"/>
  <c r="AQ16" i="44" s="1"/>
  <c r="S60" i="44"/>
  <c r="D7" i="45"/>
  <c r="D8" i="45" s="1"/>
  <c r="D9" i="45" s="1"/>
  <c r="AO21" i="44" s="1"/>
  <c r="C54" i="60"/>
  <c r="C44" i="39"/>
  <c r="S44" i="39" s="1"/>
  <c r="C42" i="39"/>
  <c r="S42" i="39" s="1"/>
  <c r="C52" i="60"/>
  <c r="C39" i="39"/>
  <c r="S39" i="39" s="1"/>
  <c r="C49" i="60"/>
  <c r="O12" i="44"/>
  <c r="O14" i="44" s="1"/>
  <c r="E232" i="48"/>
  <c r="R232" i="48"/>
  <c r="AC223" i="48"/>
  <c r="R222" i="48" s="1"/>
  <c r="X334" i="48"/>
  <c r="P334" i="48" s="1"/>
  <c r="X331" i="50"/>
  <c r="P331" i="50" s="1"/>
  <c r="E232" i="50"/>
  <c r="AS31" i="44"/>
  <c r="AS32" i="44" s="1"/>
  <c r="AA20" i="52"/>
  <c r="AA25" i="52" s="1"/>
  <c r="AD20" i="52"/>
  <c r="AX267" i="54"/>
  <c r="AK267" i="54"/>
  <c r="AD267" i="54"/>
  <c r="BL267" i="54" s="1"/>
  <c r="AR267" i="54"/>
  <c r="W267" i="54"/>
  <c r="BB116" i="54"/>
  <c r="AQ116" i="54"/>
  <c r="AJ116" i="54"/>
  <c r="V116" i="54"/>
  <c r="AW116" i="54"/>
  <c r="X476" i="54"/>
  <c r="P476" i="54" s="1"/>
  <c r="P477" i="54" s="1"/>
  <c r="Z446" i="54" s="1"/>
  <c r="AJ349" i="54"/>
  <c r="AQ349" i="54"/>
  <c r="BB349" i="54"/>
  <c r="AW349" i="54"/>
  <c r="V349" i="54"/>
  <c r="AD349" i="54" s="1"/>
  <c r="BL349" i="54" s="1"/>
  <c r="AC349" i="54"/>
  <c r="BK349" i="54" s="1"/>
  <c r="P506" i="54"/>
  <c r="Z448" i="54" s="1"/>
  <c r="X41" i="54"/>
  <c r="X122" i="54"/>
  <c r="AM122" i="54" s="1"/>
  <c r="AS122" i="54"/>
  <c r="AE122" i="54"/>
  <c r="AL122" i="54"/>
  <c r="AC116" i="54"/>
  <c r="BK116" i="54" s="1"/>
  <c r="AR39" i="54"/>
  <c r="V147" i="54"/>
  <c r="Y147" i="54"/>
  <c r="BB343" i="54"/>
  <c r="AQ343" i="54"/>
  <c r="V343" i="54"/>
  <c r="AJ343" i="54"/>
  <c r="AW343" i="54"/>
  <c r="AC343" i="54"/>
  <c r="BK343" i="54" s="1"/>
  <c r="AD343" i="54"/>
  <c r="BL343" i="54" s="1"/>
  <c r="V374" i="54"/>
  <c r="Y374" i="54"/>
  <c r="X467" i="54"/>
  <c r="AE39" i="54"/>
  <c r="AJ39" i="54"/>
  <c r="V39" i="54"/>
  <c r="AF39" i="54" s="1"/>
  <c r="P492" i="54"/>
  <c r="Z447" i="54" s="1"/>
  <c r="V224" i="54"/>
  <c r="Y224" i="54"/>
  <c r="AR344" i="54"/>
  <c r="AX344" i="54"/>
  <c r="AD344" i="54"/>
  <c r="BL344" i="54" s="1"/>
  <c r="W344" i="54"/>
  <c r="AK344" i="54"/>
  <c r="G378" i="48"/>
  <c r="Z133" i="48"/>
  <c r="Y139" i="48" s="1"/>
  <c r="Y12" i="48"/>
  <c r="Y19" i="48" s="1"/>
  <c r="Z93" i="48"/>
  <c r="Y99" i="48" s="1"/>
  <c r="Z99" i="48" s="1"/>
  <c r="Z53" i="48"/>
  <c r="Y59" i="48" s="1"/>
  <c r="Z58" i="48" s="1"/>
  <c r="AC229" i="48"/>
  <c r="P292" i="48"/>
  <c r="N292" i="48" s="1"/>
  <c r="O178" i="48"/>
  <c r="AB12" i="48"/>
  <c r="Z12" i="48"/>
  <c r="Y20" i="48" s="1"/>
  <c r="AC565" i="52"/>
  <c r="AA597" i="52" s="1"/>
  <c r="K594" i="52" s="1"/>
  <c r="AB20" i="52"/>
  <c r="AA26" i="52" s="1"/>
  <c r="R386" i="50"/>
  <c r="R387" i="50" s="1"/>
  <c r="Z177" i="50"/>
  <c r="AA177" i="50" s="1"/>
  <c r="AB177" i="50" s="1"/>
  <c r="Z179" i="50"/>
  <c r="O138" i="50"/>
  <c r="O98" i="50"/>
  <c r="Z93" i="50" s="1"/>
  <c r="Y99" i="50" s="1"/>
  <c r="AB12" i="50"/>
  <c r="Y12" i="50"/>
  <c r="Y19" i="50" s="1"/>
  <c r="AD324" i="52"/>
  <c r="AE320" i="52" s="1"/>
  <c r="AD249" i="52"/>
  <c r="AE245" i="52" s="1"/>
  <c r="AB92" i="52"/>
  <c r="AA100" i="52" s="1"/>
  <c r="AA169" i="52"/>
  <c r="AA176" i="52" s="1"/>
  <c r="AB169" i="52"/>
  <c r="AA177" i="52" s="1"/>
  <c r="AA245" i="52"/>
  <c r="AA252" i="52" s="1"/>
  <c r="AB320" i="52"/>
  <c r="AA328" i="52" s="1"/>
  <c r="AA92" i="52"/>
  <c r="AA99" i="52" s="1"/>
  <c r="AB245" i="52"/>
  <c r="AA253" i="52" s="1"/>
  <c r="AA320" i="52"/>
  <c r="AA327" i="52" s="1"/>
  <c r="AC395" i="52"/>
  <c r="AA534" i="52" s="1"/>
  <c r="AC320" i="52"/>
  <c r="AA329" i="52" s="1"/>
  <c r="AA100" i="54"/>
  <c r="AB169" i="54"/>
  <c r="AA177" i="54" s="1"/>
  <c r="AB320" i="54"/>
  <c r="AA328" i="54" s="1"/>
  <c r="AA320" i="54"/>
  <c r="AA327" i="54" s="1"/>
  <c r="AC245" i="52"/>
  <c r="AA254" i="52" s="1"/>
  <c r="AC173" i="52"/>
  <c r="AD173" i="52" s="1"/>
  <c r="AE169" i="52" s="1"/>
  <c r="AC169" i="52"/>
  <c r="AA178" i="52" s="1"/>
  <c r="AC96" i="52"/>
  <c r="AD96" i="52" s="1"/>
  <c r="AE92" i="52" s="1"/>
  <c r="AC92" i="52"/>
  <c r="AA101" i="52" s="1"/>
  <c r="AB245" i="54"/>
  <c r="AA253" i="54" s="1"/>
  <c r="AA169" i="54"/>
  <c r="AA176" i="54" s="1"/>
  <c r="AC173" i="54"/>
  <c r="AD173" i="54" s="1"/>
  <c r="AE169" i="54" s="1"/>
  <c r="AC169" i="54"/>
  <c r="AA178" i="54" s="1"/>
  <c r="AA249" i="54"/>
  <c r="AA245" i="54"/>
  <c r="AA252" i="54" s="1"/>
  <c r="AC92" i="54"/>
  <c r="AA101" i="54" s="1"/>
  <c r="AA92" i="54"/>
  <c r="AA99" i="54" s="1"/>
  <c r="AC249" i="54"/>
  <c r="AA254" i="54"/>
  <c r="AB20" i="54"/>
  <c r="AA26" i="54" s="1"/>
  <c r="R330" i="54"/>
  <c r="O330" i="54" s="1"/>
  <c r="AC395" i="54"/>
  <c r="AA534" i="54" s="1"/>
  <c r="K531" i="54" s="1"/>
  <c r="O22" i="54"/>
  <c r="AA20" i="54" s="1"/>
  <c r="AA25" i="54" s="1"/>
  <c r="E7" i="45"/>
  <c r="E8" i="45" s="1"/>
  <c r="E9" i="45" s="1"/>
  <c r="AP21" i="44" s="1"/>
  <c r="K37" i="60"/>
  <c r="X7" i="34"/>
  <c r="R19" i="34" s="1"/>
  <c r="Y91" i="40"/>
  <c r="K90" i="40" s="1"/>
  <c r="U47" i="40"/>
  <c r="V47" i="40" s="1"/>
  <c r="U48" i="40" s="1"/>
  <c r="V48" i="40" s="1"/>
  <c r="U49" i="40" s="1"/>
  <c r="V49" i="40" s="1"/>
  <c r="U50" i="40" s="1"/>
  <c r="V50" i="40" s="1"/>
  <c r="U51" i="40" s="1"/>
  <c r="V51" i="40" s="1"/>
  <c r="U52" i="40" s="1"/>
  <c r="V52" i="40" s="1"/>
  <c r="U53" i="40" s="1"/>
  <c r="V53" i="40" s="1"/>
  <c r="P84" i="40" s="1"/>
  <c r="E97" i="40" s="1"/>
  <c r="T97" i="40" s="1"/>
  <c r="J32" i="27"/>
  <c r="X32" i="27"/>
  <c r="X9" i="41"/>
  <c r="R21" i="41" s="1"/>
  <c r="S21" i="41" s="1"/>
  <c r="X32" i="41"/>
  <c r="Y133" i="37"/>
  <c r="Z133" i="37"/>
  <c r="AD133" i="37"/>
  <c r="AC133" i="37"/>
  <c r="T133" i="37"/>
  <c r="S133" i="37"/>
  <c r="X133" i="37"/>
  <c r="AB133" i="37"/>
  <c r="U133" i="37"/>
  <c r="AA133" i="37"/>
  <c r="W133" i="37"/>
  <c r="V133" i="37"/>
  <c r="AE133" i="37"/>
  <c r="F21" i="46"/>
  <c r="L21" i="46"/>
  <c r="AB377" i="48"/>
  <c r="R379" i="48" s="1"/>
  <c r="R378" i="48" s="1"/>
  <c r="R380" i="48" s="1"/>
  <c r="P381" i="48" s="1"/>
  <c r="P318" i="48"/>
  <c r="T320" i="48" s="1"/>
  <c r="P320" i="48" s="1"/>
  <c r="P335" i="48"/>
  <c r="AE292" i="48" s="1"/>
  <c r="AF292" i="48" s="1"/>
  <c r="P328" i="48"/>
  <c r="AE289" i="48" s="1"/>
  <c r="AF289" i="48" s="1"/>
  <c r="X296" i="48"/>
  <c r="P296" i="48" s="1"/>
  <c r="T303" i="48" s="1"/>
  <c r="P303" i="48" s="1"/>
  <c r="Z281" i="48" s="1"/>
  <c r="AE286" i="48"/>
  <c r="AF286"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1" i="50"/>
  <c r="P321" i="50" s="1"/>
  <c r="X298" i="50"/>
  <c r="P298" i="50" s="1"/>
  <c r="X324" i="50"/>
  <c r="P324" i="50" s="1"/>
  <c r="X293" i="50"/>
  <c r="P293" i="50" s="1"/>
  <c r="P318" i="50"/>
  <c r="AE288" i="50" s="1"/>
  <c r="AF288" i="50" s="1"/>
  <c r="X309" i="50"/>
  <c r="P309" i="50" s="1"/>
  <c r="AB377" i="50"/>
  <c r="R379" i="50" s="1"/>
  <c r="R378" i="50" s="1"/>
  <c r="Z396" i="50"/>
  <c r="AA396" i="50" s="1"/>
  <c r="Z397" i="50" s="1"/>
  <c r="AA397" i="50" s="1"/>
  <c r="Z398" i="50" s="1"/>
  <c r="AA398" i="50" s="1"/>
  <c r="P401" i="50" s="1"/>
  <c r="E453" i="50" s="1"/>
  <c r="Y453" i="50" s="1"/>
  <c r="P335" i="50"/>
  <c r="AE292" i="50" s="1"/>
  <c r="AF292" i="50" s="1"/>
  <c r="P292" i="50"/>
  <c r="N292" i="50" s="1"/>
  <c r="X294" i="50"/>
  <c r="P294" i="50" s="1"/>
  <c r="AC223" i="50"/>
  <c r="X315" i="50"/>
  <c r="P315" i="50" s="1"/>
  <c r="P328" i="50"/>
  <c r="AE289" i="50" s="1"/>
  <c r="AF289" i="50" s="1"/>
  <c r="AC229" i="50"/>
  <c r="AS33" i="52"/>
  <c r="X36" i="52"/>
  <c r="X456" i="52"/>
  <c r="P456" i="52" s="1"/>
  <c r="AA34" i="52"/>
  <c r="AT34" i="52" s="1"/>
  <c r="AD343" i="52"/>
  <c r="BL343" i="52" s="1"/>
  <c r="U279" i="52"/>
  <c r="V279" i="52" s="1"/>
  <c r="P277" i="52" s="1"/>
  <c r="E299" i="52" s="1"/>
  <c r="E36" i="50"/>
  <c r="W36" i="50" s="1"/>
  <c r="R232" i="50"/>
  <c r="X311" i="50"/>
  <c r="J77" i="50"/>
  <c r="S77" i="50" s="1"/>
  <c r="J75" i="50"/>
  <c r="S75" i="50" s="1"/>
  <c r="J76" i="50"/>
  <c r="S76" i="50" s="1"/>
  <c r="J195" i="50"/>
  <c r="S195" i="50" s="1"/>
  <c r="J197" i="50"/>
  <c r="S197" i="50" s="1"/>
  <c r="J196" i="50"/>
  <c r="S196" i="50" s="1"/>
  <c r="J115" i="50"/>
  <c r="S115" i="50" s="1"/>
  <c r="J117" i="50"/>
  <c r="S117" i="50" s="1"/>
  <c r="J116" i="50"/>
  <c r="S116" i="50" s="1"/>
  <c r="J157" i="50"/>
  <c r="S157" i="50" s="1"/>
  <c r="J156" i="50"/>
  <c r="S156" i="50" s="1"/>
  <c r="J155" i="50"/>
  <c r="S155" i="50" s="1"/>
  <c r="J37" i="50"/>
  <c r="S37" i="50" s="1"/>
  <c r="J38" i="50"/>
  <c r="S38" i="50" s="1"/>
  <c r="G397" i="52"/>
  <c r="BK347" i="52"/>
  <c r="I368" i="52"/>
  <c r="R368" i="52" s="1"/>
  <c r="X455" i="52"/>
  <c r="P455"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76" i="52"/>
  <c r="P476" i="52" s="1"/>
  <c r="X470" i="52"/>
  <c r="P470" i="52" s="1"/>
  <c r="AC267" i="52"/>
  <c r="BK267" i="52" s="1"/>
  <c r="AC268" i="52"/>
  <c r="BK268" i="52" s="1"/>
  <c r="AC565" i="54"/>
  <c r="AA597" i="54" s="1"/>
  <c r="K594" i="54" s="1"/>
  <c r="G397" i="54"/>
  <c r="AT35" i="54"/>
  <c r="Z36" i="54"/>
  <c r="X197" i="54"/>
  <c r="AM197" i="54" s="1"/>
  <c r="AL197" i="54"/>
  <c r="AS197" i="54"/>
  <c r="AQ198" i="54"/>
  <c r="BB198" i="54"/>
  <c r="AW198" i="54"/>
  <c r="V198" i="54"/>
  <c r="AD198" i="54" s="1"/>
  <c r="BL198" i="54" s="1"/>
  <c r="AJ198" i="54"/>
  <c r="BJ117" i="54"/>
  <c r="AB275" i="54"/>
  <c r="AS274" i="54"/>
  <c r="AL274" i="54"/>
  <c r="X274" i="54"/>
  <c r="U278" i="54"/>
  <c r="V278" i="54" s="1"/>
  <c r="U279" i="54" s="1"/>
  <c r="V279" i="54" s="1"/>
  <c r="P277" i="54" s="1"/>
  <c r="E299" i="54" s="1"/>
  <c r="AW192" i="54"/>
  <c r="V192" i="54"/>
  <c r="AQ192" i="54"/>
  <c r="AD192" i="54"/>
  <c r="BL192" i="54" s="1"/>
  <c r="AJ192" i="54"/>
  <c r="BB192" i="54"/>
  <c r="AE274" i="54"/>
  <c r="W196" i="54"/>
  <c r="AX196" i="54"/>
  <c r="AR196" i="54"/>
  <c r="AK196" i="54"/>
  <c r="AE196" i="54"/>
  <c r="BM196" i="54" s="1"/>
  <c r="AF193"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X191" i="54"/>
  <c r="AR191" i="54"/>
  <c r="AK191" i="54"/>
  <c r="W191" i="54"/>
  <c r="AF121" i="54"/>
  <c r="AJ33" i="54"/>
  <c r="V33" i="54"/>
  <c r="AF33" i="54" s="1"/>
  <c r="Z33" i="54"/>
  <c r="AE33" i="54"/>
  <c r="AC192" i="54"/>
  <c r="AW268" i="54"/>
  <c r="AJ268" i="54"/>
  <c r="AQ268" i="54"/>
  <c r="V268" i="54"/>
  <c r="BB268" i="54"/>
  <c r="AS348" i="54"/>
  <c r="X348" i="54"/>
  <c r="AM348" i="54" s="1"/>
  <c r="AL348" i="54"/>
  <c r="X483" i="52"/>
  <c r="P483" i="52" s="1"/>
  <c r="AC566" i="52"/>
  <c r="P570" i="52" s="1"/>
  <c r="E596" i="52" s="1"/>
  <c r="Y596" i="52" s="1"/>
  <c r="X473" i="52"/>
  <c r="P473" i="52" s="1"/>
  <c r="X503" i="52"/>
  <c r="P503" i="52" s="1"/>
  <c r="AC396" i="52"/>
  <c r="P398" i="52" s="1"/>
  <c r="E534" i="52" s="1"/>
  <c r="R27" i="52"/>
  <c r="X488" i="52"/>
  <c r="P488" i="52" s="1"/>
  <c r="BK349" i="52"/>
  <c r="X486" i="52"/>
  <c r="P486"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4" i="52"/>
  <c r="P474" i="52" s="1"/>
  <c r="AW192" i="52"/>
  <c r="AQ192" i="52"/>
  <c r="BB192" i="52"/>
  <c r="AC192" i="52"/>
  <c r="AJ192" i="52"/>
  <c r="AC403" i="52"/>
  <c r="AA535" i="52" s="1"/>
  <c r="X498" i="52"/>
  <c r="P498" i="52" s="1"/>
  <c r="AE39" i="52"/>
  <c r="Z39" i="52"/>
  <c r="AJ39" i="52"/>
  <c r="AJ274" i="52"/>
  <c r="AW274" i="52"/>
  <c r="AQ274" i="52"/>
  <c r="AC274" i="52"/>
  <c r="BB274" i="52"/>
  <c r="BJ272" i="52"/>
  <c r="BK196" i="52"/>
  <c r="P465" i="52"/>
  <c r="AE454" i="52" s="1"/>
  <c r="AF454"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47" i="52"/>
  <c r="R147" i="52" s="1"/>
  <c r="I144" i="52"/>
  <c r="R144" i="52" s="1"/>
  <c r="I141" i="52"/>
  <c r="R141" i="52" s="1"/>
  <c r="I143" i="52"/>
  <c r="R143" i="52" s="1"/>
  <c r="I152" i="52"/>
  <c r="R152" i="52" s="1"/>
  <c r="I142" i="52"/>
  <c r="R14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0" i="54"/>
  <c r="P460" i="54" s="1"/>
  <c r="P465" i="54" s="1"/>
  <c r="AE454" i="54" s="1"/>
  <c r="AF454" i="54" s="1"/>
  <c r="AC404" i="54"/>
  <c r="P408" i="54" s="1"/>
  <c r="E535" i="54" s="1"/>
  <c r="Y535" i="54" s="1"/>
  <c r="I152" i="54"/>
  <c r="R152" i="54" s="1"/>
  <c r="I296" i="54"/>
  <c r="R296" i="54" s="1"/>
  <c r="I293" i="54"/>
  <c r="R293" i="54" s="1"/>
  <c r="I294" i="54"/>
  <c r="R294" i="54" s="1"/>
  <c r="I303" i="54"/>
  <c r="R303" i="54" s="1"/>
  <c r="I304" i="54"/>
  <c r="R304" i="54" s="1"/>
  <c r="I295" i="54"/>
  <c r="R295" i="54" s="1"/>
  <c r="I220" i="54"/>
  <c r="R220" i="54" s="1"/>
  <c r="I219" i="54"/>
  <c r="R219" i="54" s="1"/>
  <c r="I218" i="54"/>
  <c r="R218" i="54" s="1"/>
  <c r="I221" i="54"/>
  <c r="R221" i="54" s="1"/>
  <c r="I229" i="54"/>
  <c r="R229" i="54" s="1"/>
  <c r="I224" i="54"/>
  <c r="R224" i="54" s="1"/>
  <c r="I228" i="54"/>
  <c r="R228" i="54" s="1"/>
  <c r="R254" i="54"/>
  <c r="I72" i="54"/>
  <c r="R72" i="54" s="1"/>
  <c r="I70" i="54"/>
  <c r="R70" i="54" s="1"/>
  <c r="I76" i="54"/>
  <c r="R76" i="54" s="1"/>
  <c r="I73" i="54"/>
  <c r="R73" i="54" s="1"/>
  <c r="I69" i="54"/>
  <c r="R69" i="54" s="1"/>
  <c r="I77" i="54"/>
  <c r="R77" i="54" s="1"/>
  <c r="I71" i="54"/>
  <c r="R71" i="54" s="1"/>
  <c r="I368" i="54"/>
  <c r="R368" i="54" s="1"/>
  <c r="I369" i="54"/>
  <c r="R369" i="54" s="1"/>
  <c r="I378" i="54"/>
  <c r="R378" i="54" s="1"/>
  <c r="I370" i="54"/>
  <c r="R370" i="54" s="1"/>
  <c r="I371" i="54"/>
  <c r="R371" i="54" s="1"/>
  <c r="I379" i="54"/>
  <c r="R379" i="54" s="1"/>
  <c r="I374" i="54"/>
  <c r="R374" i="54" s="1"/>
  <c r="R178" i="54"/>
  <c r="I143" i="54"/>
  <c r="R143" i="54" s="1"/>
  <c r="I147" i="54"/>
  <c r="R147" i="54" s="1"/>
  <c r="I151" i="54"/>
  <c r="R151" i="54" s="1"/>
  <c r="I142" i="54"/>
  <c r="R142" i="54" s="1"/>
  <c r="I144" i="54"/>
  <c r="R144" i="54" s="1"/>
  <c r="R101" i="54"/>
  <c r="I141" i="54"/>
  <c r="R141" i="54" s="1"/>
  <c r="AM274" i="54" l="1"/>
  <c r="AF274" i="54"/>
  <c r="BN274" i="54" s="1"/>
  <c r="V299" i="52"/>
  <c r="Y299" i="52"/>
  <c r="AA446" i="54"/>
  <c r="AB446" i="54" s="1"/>
  <c r="AR272" i="54"/>
  <c r="AX272" i="54"/>
  <c r="AK272" i="54"/>
  <c r="W272" i="54"/>
  <c r="AD272" i="54"/>
  <c r="BL272" i="54" s="1"/>
  <c r="S89" i="37"/>
  <c r="S90" i="37" s="1"/>
  <c r="T89" i="37"/>
  <c r="T90" i="37" s="1"/>
  <c r="S41" i="37"/>
  <c r="S42" i="37" s="1"/>
  <c r="S91" i="40"/>
  <c r="I91" i="40" s="1"/>
  <c r="T41" i="37"/>
  <c r="T42" i="37" s="1"/>
  <c r="U41" i="37" s="1"/>
  <c r="U42" i="37" s="1"/>
  <c r="V41" i="37" s="1"/>
  <c r="V42" i="37" s="1"/>
  <c r="W41" i="37" s="1"/>
  <c r="W42" i="37" s="1"/>
  <c r="X41" i="37" s="1"/>
  <c r="X42" i="37" s="1"/>
  <c r="Y41" i="37" s="1"/>
  <c r="Y42" i="37" s="1"/>
  <c r="Z41" i="37" s="1"/>
  <c r="Z42" i="37" s="1"/>
  <c r="AA41" i="37" s="1"/>
  <c r="AA42" i="37" s="1"/>
  <c r="AB41" i="37" s="1"/>
  <c r="AB42" i="37" s="1"/>
  <c r="AC41" i="37" s="1"/>
  <c r="AC42" i="37" s="1"/>
  <c r="AD41" i="37" s="1"/>
  <c r="AD42" i="37" s="1"/>
  <c r="AE41" i="37" s="1"/>
  <c r="AE42" i="37" s="1"/>
  <c r="AF41" i="37" s="1"/>
  <c r="AF42" i="37" s="1"/>
  <c r="AG41" i="37" s="1"/>
  <c r="AG42" i="37" s="1"/>
  <c r="AH41" i="37" s="1"/>
  <c r="AH42" i="37" s="1"/>
  <c r="P38" i="37" s="1"/>
  <c r="G145" i="37" s="1"/>
  <c r="U89" i="37"/>
  <c r="U90" i="37" s="1"/>
  <c r="V89" i="37" s="1"/>
  <c r="V90" i="37" s="1"/>
  <c r="W89" i="37" s="1"/>
  <c r="W90" i="37" s="1"/>
  <c r="X89" i="37" s="1"/>
  <c r="X90" i="37" s="1"/>
  <c r="Y89" i="37" s="1"/>
  <c r="Y90" i="37" s="1"/>
  <c r="Z89" i="37" s="1"/>
  <c r="Z90" i="37" s="1"/>
  <c r="AA89" i="37" s="1"/>
  <c r="AA90" i="37" s="1"/>
  <c r="AB89" i="37" s="1"/>
  <c r="AB90" i="37" s="1"/>
  <c r="AC89" i="37" s="1"/>
  <c r="AC90" i="37" s="1"/>
  <c r="AD89" i="37" s="1"/>
  <c r="AD90" i="37" s="1"/>
  <c r="AE89" i="37" s="1"/>
  <c r="AE90" i="37" s="1"/>
  <c r="AF89" i="37" s="1"/>
  <c r="AF90" i="37" s="1"/>
  <c r="AG89" i="37" s="1"/>
  <c r="AG90" i="37" s="1"/>
  <c r="AH89" i="37" s="1"/>
  <c r="AH90" i="37" s="1"/>
  <c r="AI89" i="37" s="1"/>
  <c r="AI90" i="37" s="1"/>
  <c r="AJ89" i="37" s="1"/>
  <c r="AJ90" i="37" s="1"/>
  <c r="AK89" i="37" s="1"/>
  <c r="AK90" i="37" s="1"/>
  <c r="AL89" i="37" s="1"/>
  <c r="AL90" i="37" s="1"/>
  <c r="AM89" i="37" s="1"/>
  <c r="AM90" i="37" s="1"/>
  <c r="AN89" i="37" s="1"/>
  <c r="AN90" i="37" s="1"/>
  <c r="AO89" i="37" s="1"/>
  <c r="AO90" i="37" s="1"/>
  <c r="AP89" i="37" s="1"/>
  <c r="AP90" i="37" s="1"/>
  <c r="AQ89" i="37" s="1"/>
  <c r="AQ90" i="37" s="1"/>
  <c r="AR89" i="37" s="1"/>
  <c r="AR90" i="37" s="1"/>
  <c r="P87" i="37" s="1"/>
  <c r="G146" i="37" s="1"/>
  <c r="S21" i="27"/>
  <c r="P8" i="27" s="1"/>
  <c r="D33" i="27" s="1"/>
  <c r="Y90" i="40"/>
  <c r="AE26" i="44"/>
  <c r="AF33" i="44" s="1"/>
  <c r="Z61" i="44" s="1"/>
  <c r="AS61" i="44" s="1"/>
  <c r="AT61" i="44" s="1"/>
  <c r="AR15" i="44"/>
  <c r="O33" i="44"/>
  <c r="I61" i="44" s="1"/>
  <c r="AM16" i="44"/>
  <c r="AN16" i="44" s="1"/>
  <c r="AM15" i="44"/>
  <c r="AN15" i="44" s="1"/>
  <c r="R227" i="48"/>
  <c r="R228" i="48" s="1"/>
  <c r="R223" i="48"/>
  <c r="AF17" i="44"/>
  <c r="Z60" i="44" s="1"/>
  <c r="AS60" i="44" s="1"/>
  <c r="AT60" i="44" s="1"/>
  <c r="K531" i="52"/>
  <c r="AB25" i="52"/>
  <c r="BM122" i="54"/>
  <c r="AE267" i="54"/>
  <c r="BM267" i="54" s="1"/>
  <c r="AS267" i="54"/>
  <c r="AL267" i="54"/>
  <c r="X267" i="54"/>
  <c r="AM267" i="54" s="1"/>
  <c r="AF348" i="54"/>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Y299" i="54"/>
  <c r="I299" i="54" s="1"/>
  <c r="R299" i="54" s="1"/>
  <c r="AF122" i="54"/>
  <c r="P388" i="50"/>
  <c r="E451" i="50" s="1"/>
  <c r="Y451" i="50" s="1"/>
  <c r="Z173" i="48"/>
  <c r="Y179" i="48" s="1"/>
  <c r="Z139" i="48"/>
  <c r="Z137" i="48"/>
  <c r="Z138" i="48"/>
  <c r="Y342" i="48"/>
  <c r="Z97" i="48"/>
  <c r="Z98" i="48"/>
  <c r="Y449" i="48"/>
  <c r="Z57" i="48"/>
  <c r="AA57" i="48" s="1"/>
  <c r="AB57" i="48" s="1"/>
  <c r="Z59" i="48"/>
  <c r="Z20" i="48"/>
  <c r="Z19" i="48"/>
  <c r="W461" i="48"/>
  <c r="Y448" i="48"/>
  <c r="R380" i="50"/>
  <c r="P381" i="50" s="1"/>
  <c r="E450" i="50" s="1"/>
  <c r="R222" i="50"/>
  <c r="Z133" i="50"/>
  <c r="Y139" i="50" s="1"/>
  <c r="Z137" i="50" s="1"/>
  <c r="AA178" i="50"/>
  <c r="AB178" i="50" s="1"/>
  <c r="AA173" i="50" s="1"/>
  <c r="P179" i="50" s="1"/>
  <c r="AB178" i="52"/>
  <c r="AB99" i="52"/>
  <c r="AB328" i="52"/>
  <c r="AB177" i="52"/>
  <c r="AB176" i="52"/>
  <c r="AB100" i="52"/>
  <c r="Y534" i="52"/>
  <c r="AB327" i="52"/>
  <c r="AB329" i="52"/>
  <c r="AB252" i="52"/>
  <c r="AB101" i="52"/>
  <c r="AD249" i="54"/>
  <c r="AE245" i="54" s="1"/>
  <c r="AC324" i="54"/>
  <c r="AD324" i="54" s="1"/>
  <c r="AE320" i="54" s="1"/>
  <c r="AC320" i="54"/>
  <c r="AA329" i="54" s="1"/>
  <c r="AB329" i="54" s="1"/>
  <c r="AB253" i="52"/>
  <c r="AB254" i="52"/>
  <c r="AB100" i="54"/>
  <c r="AB178" i="54"/>
  <c r="AB177" i="54"/>
  <c r="AB176" i="54"/>
  <c r="AB254" i="54"/>
  <c r="AB252" i="54"/>
  <c r="AB253" i="54"/>
  <c r="AC396" i="54"/>
  <c r="P398" i="54" s="1"/>
  <c r="AD20" i="54"/>
  <c r="R329" i="54"/>
  <c r="R27" i="54"/>
  <c r="S19" i="34"/>
  <c r="R15" i="34"/>
  <c r="S91" i="34"/>
  <c r="I91" i="34" s="1"/>
  <c r="K90" i="34"/>
  <c r="Y90" i="34"/>
  <c r="S19" i="40"/>
  <c r="P19" i="40" s="1"/>
  <c r="E91" i="40" s="1"/>
  <c r="T91" i="40" s="1"/>
  <c r="R17" i="41"/>
  <c r="P21" i="41" s="1"/>
  <c r="D33" i="41" s="1"/>
  <c r="S33" i="41" s="1"/>
  <c r="H33" i="41" s="1"/>
  <c r="T33" i="41" s="1"/>
  <c r="U34" i="41" s="1"/>
  <c r="S134" i="37"/>
  <c r="S135" i="37" s="1"/>
  <c r="T134" i="37" s="1"/>
  <c r="T135" i="37" s="1"/>
  <c r="U134" i="37" s="1"/>
  <c r="U135" i="37" s="1"/>
  <c r="V134" i="37" s="1"/>
  <c r="V135" i="37" s="1"/>
  <c r="W134" i="37" s="1"/>
  <c r="W135" i="37" s="1"/>
  <c r="X134" i="37" s="1"/>
  <c r="X135" i="37" s="1"/>
  <c r="Y134" i="37" s="1"/>
  <c r="Y135" i="37" s="1"/>
  <c r="Z134" i="37" s="1"/>
  <c r="Z135" i="37" s="1"/>
  <c r="AA134" i="37" s="1"/>
  <c r="AA135" i="37" s="1"/>
  <c r="AB134" i="37" s="1"/>
  <c r="AB135" i="37" s="1"/>
  <c r="AC134" i="37" s="1"/>
  <c r="AC135" i="37" s="1"/>
  <c r="AD134" i="37" s="1"/>
  <c r="AD135" i="37" s="1"/>
  <c r="P132" i="37" s="1"/>
  <c r="G147" i="37" s="1"/>
  <c r="Z283" i="48"/>
  <c r="AE287" i="48"/>
  <c r="AF287" i="48" s="1"/>
  <c r="Z284" i="48"/>
  <c r="AE288" i="48"/>
  <c r="AF288" i="48" s="1"/>
  <c r="E450" i="48"/>
  <c r="W449" i="48"/>
  <c r="P299" i="50"/>
  <c r="Z282" i="50" s="1"/>
  <c r="T303" i="50"/>
  <c r="P303" i="50" s="1"/>
  <c r="Z281" i="50" s="1"/>
  <c r="Z284" i="50"/>
  <c r="Y448" i="50"/>
  <c r="W461" i="50"/>
  <c r="Y449" i="50"/>
  <c r="AE286" i="50"/>
  <c r="AF286" i="50" s="1"/>
  <c r="J36" i="50"/>
  <c r="S36" i="50" s="1"/>
  <c r="R227" i="50"/>
  <c r="AA36" i="52"/>
  <c r="B36" i="52" s="1"/>
  <c r="P492" i="52"/>
  <c r="Z447" i="52" s="1"/>
  <c r="P458" i="52"/>
  <c r="AE453" i="52" s="1"/>
  <c r="AF453" i="52" s="1"/>
  <c r="P477" i="52"/>
  <c r="Z446" i="52" s="1"/>
  <c r="AZ34" i="52"/>
  <c r="I299" i="52"/>
  <c r="R299" i="52" s="1"/>
  <c r="P311" i="50"/>
  <c r="T320" i="50" s="1"/>
  <c r="P320" i="50" s="1"/>
  <c r="X320" i="50"/>
  <c r="Z98" i="50"/>
  <c r="Z97" i="50"/>
  <c r="Z9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W268" i="52"/>
  <c r="W267" i="52"/>
  <c r="AX267" i="52"/>
  <c r="AE267" i="52"/>
  <c r="BM267" i="52" s="1"/>
  <c r="AV34" i="52"/>
  <c r="AS117" i="52"/>
  <c r="AL117" i="52"/>
  <c r="AE117" i="52"/>
  <c r="BM117" i="52" s="1"/>
  <c r="AK268" i="52"/>
  <c r="AR268" i="52"/>
  <c r="AX268" i="52"/>
  <c r="AE268" i="52"/>
  <c r="BM268" i="52" s="1"/>
  <c r="AK348" i="52"/>
  <c r="AR348" i="52"/>
  <c r="AX348" i="52"/>
  <c r="AD348" i="52"/>
  <c r="AA38" i="52"/>
  <c r="AT38" i="52" s="1"/>
  <c r="AD268" i="52"/>
  <c r="BL268" i="52" s="1"/>
  <c r="AD269" i="52"/>
  <c r="BL269" i="52" s="1"/>
  <c r="AR269" i="52"/>
  <c r="AX269" i="52"/>
  <c r="AK269" i="52"/>
  <c r="AE269" i="52"/>
  <c r="BM269" i="52" s="1"/>
  <c r="AD347" i="52"/>
  <c r="BN120" i="52"/>
  <c r="AA123" i="52"/>
  <c r="AC566" i="54"/>
  <c r="P570" i="54" s="1"/>
  <c r="BN348" i="54"/>
  <c r="AB350" i="54"/>
  <c r="BK192" i="54"/>
  <c r="AL191" i="54"/>
  <c r="AE191" i="54"/>
  <c r="BM191" i="54" s="1"/>
  <c r="X191" i="54"/>
  <c r="AM191" i="54" s="1"/>
  <c r="AS191" i="54"/>
  <c r="BN121" i="54"/>
  <c r="AB123" i="54"/>
  <c r="AK268" i="54"/>
  <c r="AX268" i="54"/>
  <c r="W268" i="54"/>
  <c r="AE268" i="54" s="1"/>
  <c r="BM268" i="54" s="1"/>
  <c r="AR268" i="54"/>
  <c r="AS33" i="54"/>
  <c r="X36" i="54"/>
  <c r="AA36" i="54" s="1"/>
  <c r="B36" i="54" s="1"/>
  <c r="BN193" i="54"/>
  <c r="AC194" i="54"/>
  <c r="AL196" i="54"/>
  <c r="AS196" i="54"/>
  <c r="X196" i="54"/>
  <c r="AM196" i="54" s="1"/>
  <c r="AF196" i="54"/>
  <c r="AK192" i="54"/>
  <c r="AX192" i="54"/>
  <c r="W192" i="54"/>
  <c r="AR192" i="54"/>
  <c r="AX198" i="54"/>
  <c r="W198" i="54"/>
  <c r="AE198" i="54" s="1"/>
  <c r="BM198" i="54" s="1"/>
  <c r="AK198" i="54"/>
  <c r="AR198" i="54"/>
  <c r="AF197" i="54"/>
  <c r="AD268" i="54"/>
  <c r="AA118" i="54"/>
  <c r="AS269" i="54"/>
  <c r="AL269" i="54"/>
  <c r="X269" i="54"/>
  <c r="W117" i="54"/>
  <c r="AE117" i="54" s="1"/>
  <c r="AX117" i="54"/>
  <c r="AR117" i="54"/>
  <c r="AK117" i="54"/>
  <c r="BM274" i="54"/>
  <c r="AC275" i="54"/>
  <c r="P506" i="52"/>
  <c r="Z448" i="52" s="1"/>
  <c r="AB26" i="52"/>
  <c r="AC25" i="52" s="1"/>
  <c r="AD25" i="52" s="1"/>
  <c r="BM196" i="52"/>
  <c r="BL193" i="52"/>
  <c r="BL272" i="52"/>
  <c r="AR191" i="52"/>
  <c r="AK191" i="52"/>
  <c r="W192" i="52"/>
  <c r="W193" i="52"/>
  <c r="AE193" i="52" s="1"/>
  <c r="BM193" i="52" s="1"/>
  <c r="AX191" i="52"/>
  <c r="W191" i="52"/>
  <c r="AE191" i="52" s="1"/>
  <c r="BM191" i="52" s="1"/>
  <c r="AS344" i="52"/>
  <c r="AL344" i="52"/>
  <c r="AL197" i="52"/>
  <c r="AS197" i="52"/>
  <c r="AC404" i="52"/>
  <c r="P408" i="52" s="1"/>
  <c r="AS343" i="52"/>
  <c r="AL343" i="52"/>
  <c r="AG446" i="52"/>
  <c r="AG453" i="52"/>
  <c r="AG454" i="52"/>
  <c r="AG449" i="52"/>
  <c r="AG447" i="52"/>
  <c r="AG450" i="52"/>
  <c r="AG448" i="52"/>
  <c r="AS39" i="52"/>
  <c r="AK274" i="52"/>
  <c r="AR274" i="52"/>
  <c r="AX274" i="52"/>
  <c r="BB34" i="52"/>
  <c r="AX193" i="52"/>
  <c r="AR193" i="52"/>
  <c r="AK193" i="52"/>
  <c r="BK274" i="52"/>
  <c r="AW34" i="52"/>
  <c r="AR192" i="52"/>
  <c r="AX192" i="52"/>
  <c r="AE192" i="52"/>
  <c r="BM192" i="52" s="1"/>
  <c r="AK192" i="52"/>
  <c r="BK273" i="52"/>
  <c r="AA39" i="52"/>
  <c r="AT39" i="52" s="1"/>
  <c r="BK192" i="52"/>
  <c r="AY34" i="52"/>
  <c r="AL196" i="52"/>
  <c r="AS196" i="52"/>
  <c r="X198" i="52"/>
  <c r="AM198" i="52" s="1"/>
  <c r="X197" i="52"/>
  <c r="AM197" i="52" s="1"/>
  <c r="X196" i="52"/>
  <c r="AE343" i="52"/>
  <c r="X41"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48" i="54"/>
  <c r="AB448" i="54" s="1"/>
  <c r="AA447" i="54"/>
  <c r="AB447" i="54" s="1"/>
  <c r="AC446" i="54" s="1"/>
  <c r="AD446" i="54" s="1"/>
  <c r="AC447" i="54" s="1"/>
  <c r="AD447" i="54" s="1"/>
  <c r="P508" i="54" s="1"/>
  <c r="AA123" i="54"/>
  <c r="BL342" i="54"/>
  <c r="X342" i="54"/>
  <c r="AM342" i="54" s="1"/>
  <c r="AS342" i="54"/>
  <c r="AL342" i="54"/>
  <c r="AG454" i="54"/>
  <c r="AG448" i="54"/>
  <c r="AG447" i="54"/>
  <c r="AG446" i="54"/>
  <c r="AG449" i="54"/>
  <c r="AG453" i="54"/>
  <c r="AG450" i="54"/>
  <c r="AB101" i="54"/>
  <c r="AB99" i="54"/>
  <c r="I549" i="54"/>
  <c r="BS530" i="54" s="1"/>
  <c r="I550" i="54"/>
  <c r="BT530" i="54" s="1"/>
  <c r="I536" i="54"/>
  <c r="AT530" i="54" s="1"/>
  <c r="I537" i="54"/>
  <c r="AU530" i="54" s="1"/>
  <c r="I539" i="54"/>
  <c r="AW530" i="54" s="1"/>
  <c r="I538" i="54"/>
  <c r="AV530" i="54" s="1"/>
  <c r="I552" i="54"/>
  <c r="BV530" i="54" s="1"/>
  <c r="AY39" i="52" l="1"/>
  <c r="AM196" i="52"/>
  <c r="AF196" i="52"/>
  <c r="BN196" i="52" s="1"/>
  <c r="AM269" i="54"/>
  <c r="AF269" i="54"/>
  <c r="BN269" i="54" s="1"/>
  <c r="AG287" i="48"/>
  <c r="AA284" i="48"/>
  <c r="AB284" i="48" s="1"/>
  <c r="BN122" i="54"/>
  <c r="AC123" i="54"/>
  <c r="AD123" i="54" s="1"/>
  <c r="B123" i="54" s="1"/>
  <c r="AS272" i="54"/>
  <c r="X272" i="54"/>
  <c r="AL272" i="54"/>
  <c r="AE272" i="54"/>
  <c r="BM272" i="54" s="1"/>
  <c r="R145" i="37"/>
  <c r="P19" i="34"/>
  <c r="E91" i="34" s="1"/>
  <c r="T91" i="34" s="1"/>
  <c r="AL61" i="44"/>
  <c r="O61" i="44" s="1"/>
  <c r="AN61" i="44" s="1"/>
  <c r="AO61" i="44" s="1"/>
  <c r="AO15" i="44"/>
  <c r="O17" i="44" s="1"/>
  <c r="I60" i="44" s="1"/>
  <c r="AY61" i="44" s="1"/>
  <c r="R229" i="48"/>
  <c r="P234" i="48" s="1"/>
  <c r="O226" i="48"/>
  <c r="R228" i="50"/>
  <c r="O233" i="50" s="1"/>
  <c r="R223" i="50"/>
  <c r="AU60" i="44"/>
  <c r="AU65" i="44"/>
  <c r="O233" i="48"/>
  <c r="Y450" i="48"/>
  <c r="AC327" i="52"/>
  <c r="AD327"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AD92" i="54" s="1"/>
  <c r="L450" i="48"/>
  <c r="W449" i="50"/>
  <c r="Y447" i="48"/>
  <c r="Y340" i="48"/>
  <c r="J365" i="48" s="1"/>
  <c r="S365" i="48" s="1"/>
  <c r="AA97" i="48"/>
  <c r="AB97" i="48" s="1"/>
  <c r="AA98" i="48" s="1"/>
  <c r="AB98" i="48" s="1"/>
  <c r="AA93" i="48" s="1"/>
  <c r="P99" i="48" s="1"/>
  <c r="L117" i="48" s="1"/>
  <c r="Z179" i="48"/>
  <c r="Z177" i="48"/>
  <c r="Z178" i="48"/>
  <c r="AA137" i="48"/>
  <c r="AB137" i="48" s="1"/>
  <c r="AA138" i="48" s="1"/>
  <c r="AB138" i="48" s="1"/>
  <c r="AA133" i="48" s="1"/>
  <c r="P139" i="48" s="1"/>
  <c r="L157" i="48" s="1"/>
  <c r="Z138" i="50"/>
  <c r="AA137" i="50" s="1"/>
  <c r="AB137" i="50" s="1"/>
  <c r="Z139" i="50"/>
  <c r="AA58" i="48"/>
  <c r="AB58" i="48" s="1"/>
  <c r="AA53" i="48" s="1"/>
  <c r="P59" i="48" s="1"/>
  <c r="L77" i="48" s="1"/>
  <c r="AA283" i="48"/>
  <c r="AB283" i="48" s="1"/>
  <c r="AG290" i="48"/>
  <c r="AA19" i="48"/>
  <c r="AB19" i="48" s="1"/>
  <c r="AA12" i="48" s="1"/>
  <c r="P21" i="48" s="1"/>
  <c r="L37" i="48" s="1"/>
  <c r="AG292" i="48"/>
  <c r="AC99" i="52"/>
  <c r="AD99" i="52" s="1"/>
  <c r="AC100" i="52" s="1"/>
  <c r="AD100" i="52" s="1"/>
  <c r="AD92" i="52" s="1"/>
  <c r="P88" i="52" s="1"/>
  <c r="L450" i="50"/>
  <c r="Y450" i="50"/>
  <c r="AC20" i="52"/>
  <c r="P16" i="52" s="1"/>
  <c r="AC176" i="52"/>
  <c r="AD176" i="52" s="1"/>
  <c r="AC177" i="52" s="1"/>
  <c r="AD177" i="52" s="1"/>
  <c r="AD169" i="52" s="1"/>
  <c r="P165" i="52" s="1"/>
  <c r="K225" i="52" s="1"/>
  <c r="AC252" i="52"/>
  <c r="AD252" i="52" s="1"/>
  <c r="AC253" i="52" s="1"/>
  <c r="AD253" i="52" s="1"/>
  <c r="AD245" i="52" s="1"/>
  <c r="P241" i="52" s="1"/>
  <c r="AC328" i="52"/>
  <c r="AD328" i="52" s="1"/>
  <c r="AD320" i="52" s="1"/>
  <c r="P316" i="52" s="1"/>
  <c r="E534" i="54"/>
  <c r="Y534" i="54" s="1"/>
  <c r="I534" i="54" s="1"/>
  <c r="AR530" i="54" s="1"/>
  <c r="K548" i="54"/>
  <c r="AB328" i="54"/>
  <c r="AB327" i="54"/>
  <c r="E596" i="54"/>
  <c r="Y596" i="54" s="1"/>
  <c r="I596" i="54" s="1"/>
  <c r="R596" i="54" s="1"/>
  <c r="I535" i="54"/>
  <c r="AS530" i="54" s="1"/>
  <c r="AC176" i="54"/>
  <c r="AD176" i="54" s="1"/>
  <c r="AC177" i="54" s="1"/>
  <c r="AD177" i="54" s="1"/>
  <c r="AD169" i="54" s="1"/>
  <c r="P165" i="54" s="1"/>
  <c r="AC252" i="54"/>
  <c r="AD252" i="54" s="1"/>
  <c r="AC253" i="54" s="1"/>
  <c r="AD253" i="54" s="1"/>
  <c r="AD245" i="54" s="1"/>
  <c r="P241" i="54" s="1"/>
  <c r="K300" i="54" s="1"/>
  <c r="I604" i="54"/>
  <c r="R604" i="54" s="1"/>
  <c r="I607" i="54"/>
  <c r="R607" i="54" s="1"/>
  <c r="I606" i="54"/>
  <c r="R606" i="54" s="1"/>
  <c r="AB25" i="54"/>
  <c r="AB26" i="54"/>
  <c r="AZ61" i="44"/>
  <c r="AU61" i="44"/>
  <c r="AU62" i="44"/>
  <c r="AU66" i="44"/>
  <c r="AZ62" i="44"/>
  <c r="AU64" i="44"/>
  <c r="AU63" i="44"/>
  <c r="U97" i="40"/>
  <c r="U98" i="40"/>
  <c r="U95" i="40"/>
  <c r="U96" i="40"/>
  <c r="U92" i="40"/>
  <c r="U93" i="40"/>
  <c r="U94" i="40"/>
  <c r="U91" i="40"/>
  <c r="S33" i="27"/>
  <c r="H33" i="27" s="1"/>
  <c r="T33" i="27" s="1"/>
  <c r="U33" i="41"/>
  <c r="V33" i="41" s="1"/>
  <c r="W33" i="41" s="1"/>
  <c r="U35" i="41"/>
  <c r="U36" i="41"/>
  <c r="R147" i="37"/>
  <c r="R146" i="37"/>
  <c r="S145" i="37" s="1"/>
  <c r="T145" i="37" s="1"/>
  <c r="AG288" i="48"/>
  <c r="AG291" i="48"/>
  <c r="AG289" i="48"/>
  <c r="AG282" i="48"/>
  <c r="AG285" i="48"/>
  <c r="AA282" i="48"/>
  <c r="AB282" i="48" s="1"/>
  <c r="AA281" i="48"/>
  <c r="AB281" i="48" s="1"/>
  <c r="AG284" i="48"/>
  <c r="AG293" i="48"/>
  <c r="AG286" i="48"/>
  <c r="AG281" i="48"/>
  <c r="AG283" i="48"/>
  <c r="J358" i="48"/>
  <c r="S358" i="48" s="1"/>
  <c r="J355" i="48"/>
  <c r="S355" i="48" s="1"/>
  <c r="J363" i="48"/>
  <c r="S363" i="48" s="1"/>
  <c r="Y447" i="50"/>
  <c r="AV35" i="52"/>
  <c r="AW35" i="52" s="1"/>
  <c r="AA118" i="52"/>
  <c r="AW39" i="52"/>
  <c r="BC39" i="52"/>
  <c r="AF343" i="52"/>
  <c r="BN343" i="52" s="1"/>
  <c r="AF116" i="52"/>
  <c r="BN116" i="52" s="1"/>
  <c r="Z283" i="50"/>
  <c r="AE287" i="50"/>
  <c r="AF287" i="50" s="1"/>
  <c r="AA19" i="50"/>
  <c r="AB19" i="50" s="1"/>
  <c r="AA97" i="50"/>
  <c r="AB97" i="50" s="1"/>
  <c r="AA98" i="50" s="1"/>
  <c r="AB98" i="50" s="1"/>
  <c r="AA93" i="50" s="1"/>
  <c r="P99" i="50" s="1"/>
  <c r="L197" i="50"/>
  <c r="I603" i="54"/>
  <c r="R603"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F349" i="52"/>
  <c r="BN349" i="52" s="1"/>
  <c r="AX35" i="52"/>
  <c r="AY35" i="52" s="1"/>
  <c r="AZ35" i="52" s="1"/>
  <c r="BA35" i="52" s="1"/>
  <c r="BB35" i="52" s="1"/>
  <c r="P36" i="52" s="1"/>
  <c r="E67" i="52" s="1"/>
  <c r="Y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M117" i="54"/>
  <c r="X198" i="54"/>
  <c r="AS198" i="54"/>
  <c r="AL198" i="54"/>
  <c r="AA199" i="54"/>
  <c r="BN196" i="54"/>
  <c r="BQ121" i="54"/>
  <c r="BP121" i="54"/>
  <c r="BP122" i="54" s="1"/>
  <c r="AA448" i="52"/>
  <c r="AB448" i="52" s="1"/>
  <c r="AA447" i="52"/>
  <c r="AB447" i="52" s="1"/>
  <c r="AA446" i="52"/>
  <c r="AB446" i="52" s="1"/>
  <c r="AC446" i="52" s="1"/>
  <c r="AD446" i="52" s="1"/>
  <c r="AC447" i="52" s="1"/>
  <c r="AD447" i="52" s="1"/>
  <c r="P508" i="52" s="1"/>
  <c r="V67" i="52"/>
  <c r="I67" i="52"/>
  <c r="R67" i="52" s="1"/>
  <c r="AL274" i="52"/>
  <c r="AS274" i="52"/>
  <c r="AF342" i="52"/>
  <c r="BA39" i="52"/>
  <c r="AF197" i="52"/>
  <c r="AL193" i="52"/>
  <c r="AS193" i="52"/>
  <c r="AA199" i="52"/>
  <c r="AV39" i="52"/>
  <c r="AV40" i="52" s="1"/>
  <c r="AW40" i="52" s="1"/>
  <c r="AX40" i="52" s="1"/>
  <c r="E535" i="52"/>
  <c r="Y535" i="52" s="1"/>
  <c r="AS192" i="52"/>
  <c r="AL192" i="52"/>
  <c r="AF344" i="52"/>
  <c r="BN344" i="52" s="1"/>
  <c r="AZ39" i="52"/>
  <c r="BP121" i="52"/>
  <c r="CA121" i="52"/>
  <c r="BS121" i="52"/>
  <c r="BU121" i="52"/>
  <c r="BX121" i="52"/>
  <c r="BY121" i="52"/>
  <c r="BR121" i="52"/>
  <c r="BT121" i="52"/>
  <c r="BQ121" i="52"/>
  <c r="BZ121" i="52"/>
  <c r="BW121" i="52"/>
  <c r="BV121" i="52"/>
  <c r="BM343" i="52"/>
  <c r="AH446" i="52"/>
  <c r="AI446" i="52" s="1"/>
  <c r="AH447" i="52" s="1"/>
  <c r="AI447" i="52" s="1"/>
  <c r="AH448" i="52" s="1"/>
  <c r="AI448" i="52" s="1"/>
  <c r="AH449" i="52" s="1"/>
  <c r="AI449" i="52" s="1"/>
  <c r="AH450" i="52" s="1"/>
  <c r="AI450" i="52" s="1"/>
  <c r="AH453" i="52" s="1"/>
  <c r="AI453" i="52" s="1"/>
  <c r="P510" i="52" s="1"/>
  <c r="AD123" i="52"/>
  <c r="B123" i="52" s="1"/>
  <c r="Z41" i="52"/>
  <c r="AA41" i="52" s="1"/>
  <c r="B41" i="52" s="1"/>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1" i="54"/>
  <c r="AF342" i="54"/>
  <c r="AH446" i="54"/>
  <c r="AI446" i="54" s="1"/>
  <c r="AH447" i="54" s="1"/>
  <c r="AI447" i="54" s="1"/>
  <c r="AH448" i="54" s="1"/>
  <c r="AI448" i="54" s="1"/>
  <c r="AH449" i="54" s="1"/>
  <c r="AI449" i="54" s="1"/>
  <c r="AH450" i="54" s="1"/>
  <c r="AI450" i="54" s="1"/>
  <c r="AH453" i="54" s="1"/>
  <c r="AI453" i="54" s="1"/>
  <c r="P510" i="54" s="1"/>
  <c r="E605" i="54" l="1"/>
  <c r="Y605" i="54" s="1"/>
  <c r="K603" i="54"/>
  <c r="AM198" i="54"/>
  <c r="AF198" i="54"/>
  <c r="BN198" i="54" s="1"/>
  <c r="AM272" i="54"/>
  <c r="AF272" i="54"/>
  <c r="BY121" i="54"/>
  <c r="BU121" i="54"/>
  <c r="BS121" i="54"/>
  <c r="BT121" i="54"/>
  <c r="BR121" i="54"/>
  <c r="BQ122" i="54" s="1"/>
  <c r="BR122" i="54" s="1"/>
  <c r="BS122" i="54" s="1"/>
  <c r="BT122" i="54" s="1"/>
  <c r="BW121" i="54"/>
  <c r="BV121" i="54"/>
  <c r="BX121" i="54"/>
  <c r="BZ121" i="54"/>
  <c r="CA121" i="54"/>
  <c r="AN60" i="44"/>
  <c r="AO60" i="44" s="1"/>
  <c r="AP65" i="44" s="1"/>
  <c r="S146" i="37"/>
  <c r="T146" i="37" s="1"/>
  <c r="P144" i="37" s="1"/>
  <c r="U94" i="34"/>
  <c r="U92" i="34"/>
  <c r="U96" i="34"/>
  <c r="U91" i="34"/>
  <c r="U97" i="34"/>
  <c r="U95" i="34"/>
  <c r="U98" i="34"/>
  <c r="U93" i="34"/>
  <c r="AV60" i="44"/>
  <c r="AW60" i="44" s="1"/>
  <c r="AV61" i="44" s="1"/>
  <c r="AW61" i="44" s="1"/>
  <c r="AV62" i="44" s="1"/>
  <c r="AW62" i="44" s="1"/>
  <c r="AV63" i="44" s="1"/>
  <c r="AW63" i="44" s="1"/>
  <c r="AV64" i="44" s="1"/>
  <c r="AW64" i="44" s="1"/>
  <c r="AV65" i="44" s="1"/>
  <c r="AW65" i="44" s="1"/>
  <c r="Z67" i="44" s="1"/>
  <c r="O226" i="50"/>
  <c r="R229" i="50"/>
  <c r="E114" i="48"/>
  <c r="AA138" i="50"/>
  <c r="AB138" i="50" s="1"/>
  <c r="AA133" i="50" s="1"/>
  <c r="P139" i="50" s="1"/>
  <c r="L157" i="50" s="1"/>
  <c r="AV35" i="54"/>
  <c r="AW35" i="54" s="1"/>
  <c r="AA270" i="54"/>
  <c r="BM349" i="54"/>
  <c r="AY39" i="54"/>
  <c r="AZ39" i="54"/>
  <c r="BB39" i="54"/>
  <c r="AX39" i="54"/>
  <c r="AV39" i="54"/>
  <c r="BA39" i="54"/>
  <c r="BC39" i="54"/>
  <c r="AW39" i="54"/>
  <c r="AF343" i="54"/>
  <c r="AF116" i="54"/>
  <c r="BN116" i="54" s="1"/>
  <c r="AF349" i="54"/>
  <c r="BN191" i="54"/>
  <c r="AA194" i="54"/>
  <c r="BM116" i="54"/>
  <c r="BU116" i="54" s="1"/>
  <c r="J453" i="48"/>
  <c r="S453" i="48" s="1"/>
  <c r="J467" i="48"/>
  <c r="S467" i="48" s="1"/>
  <c r="J469" i="48"/>
  <c r="S469" i="48" s="1"/>
  <c r="J464" i="48"/>
  <c r="S464" i="48" s="1"/>
  <c r="J451" i="48"/>
  <c r="S451" i="48" s="1"/>
  <c r="J362" i="48"/>
  <c r="S362" i="48" s="1"/>
  <c r="J364" i="48"/>
  <c r="S364" i="48" s="1"/>
  <c r="J357" i="48"/>
  <c r="S357" i="48" s="1"/>
  <c r="J354" i="48"/>
  <c r="S354" i="48" s="1"/>
  <c r="J468" i="48"/>
  <c r="S468" i="48" s="1"/>
  <c r="J356" i="48"/>
  <c r="S356" i="48" s="1"/>
  <c r="J465" i="48"/>
  <c r="S465" i="48" s="1"/>
  <c r="J466" i="48"/>
  <c r="S466" i="48" s="1"/>
  <c r="AA177" i="48"/>
  <c r="AB177" i="48" s="1"/>
  <c r="AA178" i="48" s="1"/>
  <c r="AB178" i="48" s="1"/>
  <c r="AA173" i="48" s="1"/>
  <c r="P179" i="48" s="1"/>
  <c r="L197" i="48" s="1"/>
  <c r="E74" i="48"/>
  <c r="S74" i="48" s="1"/>
  <c r="AH281" i="48"/>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AH292" i="48" s="1"/>
  <c r="AI292" i="48" s="1"/>
  <c r="P338" i="48" s="1"/>
  <c r="E470" i="48" s="1"/>
  <c r="L117" i="50"/>
  <c r="K73" i="52"/>
  <c r="AA12" i="50"/>
  <c r="AC327" i="54"/>
  <c r="AD327" i="54" s="1"/>
  <c r="AC328" i="54" s="1"/>
  <c r="AD328" i="54" s="1"/>
  <c r="AD320" i="54" s="1"/>
  <c r="P316" i="54" s="1"/>
  <c r="K375" i="54" s="1"/>
  <c r="Y551" i="54"/>
  <c r="I551" i="54" s="1"/>
  <c r="BU530" i="54" s="1"/>
  <c r="U617" i="54"/>
  <c r="E66" i="52"/>
  <c r="V66" i="52" s="1"/>
  <c r="AC25" i="54"/>
  <c r="AD25" i="54" s="1"/>
  <c r="AC20" i="54" s="1"/>
  <c r="P16" i="54" s="1"/>
  <c r="V91" i="40"/>
  <c r="W91" i="40" s="1"/>
  <c r="V92" i="40" s="1"/>
  <c r="W92" i="40" s="1"/>
  <c r="V93" i="40" s="1"/>
  <c r="W93" i="40" s="1"/>
  <c r="V94" i="40" s="1"/>
  <c r="W94" i="40" s="1"/>
  <c r="V95" i="40" s="1"/>
  <c r="W95" i="40" s="1"/>
  <c r="V96" i="40" s="1"/>
  <c r="W96" i="40" s="1"/>
  <c r="V97" i="40" s="1"/>
  <c r="W97" i="40" s="1"/>
  <c r="P90" i="40" s="1"/>
  <c r="U34" i="27"/>
  <c r="U36" i="27"/>
  <c r="U35" i="27"/>
  <c r="U33" i="27"/>
  <c r="V34" i="41"/>
  <c r="W34" i="41" s="1"/>
  <c r="V35" i="41" s="1"/>
  <c r="W35" i="41" s="1"/>
  <c r="AP61" i="44"/>
  <c r="AP66" i="44"/>
  <c r="AP63" i="44"/>
  <c r="AP64" i="44"/>
  <c r="AP60" i="44"/>
  <c r="J453" i="50"/>
  <c r="S453" i="50" s="1"/>
  <c r="AC281" i="48"/>
  <c r="AD281" i="48" s="1"/>
  <c r="AC282" i="48" s="1"/>
  <c r="AD282" i="48" s="1"/>
  <c r="AC283" i="48" s="1"/>
  <c r="AD283" i="48" s="1"/>
  <c r="P337" i="48" s="1"/>
  <c r="W344" i="48" s="1"/>
  <c r="E35" i="48"/>
  <c r="S35" i="48" s="1"/>
  <c r="E353" i="48"/>
  <c r="W342" i="48"/>
  <c r="E154" i="48"/>
  <c r="J465" i="50"/>
  <c r="S465" i="50" s="1"/>
  <c r="J357" i="50"/>
  <c r="S357" i="50" s="1"/>
  <c r="J469" i="50"/>
  <c r="S469" i="50" s="1"/>
  <c r="J450" i="50"/>
  <c r="S450" i="50" s="1"/>
  <c r="J468" i="50"/>
  <c r="S468" i="50" s="1"/>
  <c r="J365" i="50"/>
  <c r="S365" i="50" s="1"/>
  <c r="J362" i="50"/>
  <c r="S362" i="50" s="1"/>
  <c r="J363" i="50"/>
  <c r="S363" i="50" s="1"/>
  <c r="J464" i="50"/>
  <c r="S464" i="50" s="1"/>
  <c r="J356" i="50"/>
  <c r="S356" i="50" s="1"/>
  <c r="J364" i="50"/>
  <c r="S364" i="50" s="1"/>
  <c r="J355" i="50"/>
  <c r="S355" i="50" s="1"/>
  <c r="J467" i="50"/>
  <c r="S467" i="50" s="1"/>
  <c r="J451" i="50"/>
  <c r="S451" i="50" s="1"/>
  <c r="J354" i="50"/>
  <c r="S354" i="50" s="1"/>
  <c r="J466" i="50"/>
  <c r="S466" i="50" s="1"/>
  <c r="J358" i="50"/>
  <c r="S358" i="50" s="1"/>
  <c r="AB118" i="52"/>
  <c r="AB345" i="52"/>
  <c r="AF269" i="52"/>
  <c r="BN269" i="52" s="1"/>
  <c r="AB270" i="52"/>
  <c r="AG291" i="50"/>
  <c r="AG288" i="50"/>
  <c r="AG285" i="50"/>
  <c r="AG283" i="50"/>
  <c r="AG281" i="50"/>
  <c r="AG293" i="50"/>
  <c r="AG286" i="50"/>
  <c r="AG287" i="50"/>
  <c r="AG292" i="50"/>
  <c r="AG290" i="50"/>
  <c r="AG284" i="50"/>
  <c r="AG289" i="50"/>
  <c r="AG282" i="50"/>
  <c r="AA282" i="50"/>
  <c r="AB282" i="50" s="1"/>
  <c r="AA281" i="50"/>
  <c r="AB281" i="50" s="1"/>
  <c r="AA283" i="50"/>
  <c r="AB283" i="50" s="1"/>
  <c r="AA284" i="50"/>
  <c r="AB284" i="50" s="1"/>
  <c r="E194" i="50"/>
  <c r="E114" i="50"/>
  <c r="AC350" i="52"/>
  <c r="AF347" i="52"/>
  <c r="AC118" i="52"/>
  <c r="BN117" i="52"/>
  <c r="BQ116" i="52" s="1"/>
  <c r="AC270" i="52"/>
  <c r="BT116" i="52"/>
  <c r="AY40" i="52"/>
  <c r="AZ40" i="52" s="1"/>
  <c r="BA40" i="52" s="1"/>
  <c r="BB40" i="52" s="1"/>
  <c r="P41" i="52" s="1"/>
  <c r="E68" i="52" s="1"/>
  <c r="Y68" i="52" s="1"/>
  <c r="AF274" i="52"/>
  <c r="BN274" i="52" s="1"/>
  <c r="AF348" i="52"/>
  <c r="AF267" i="52"/>
  <c r="AC118" i="54"/>
  <c r="AX35" i="54"/>
  <c r="AY35" i="54" s="1"/>
  <c r="AZ35" i="54" s="1"/>
  <c r="BA35" i="54" s="1"/>
  <c r="BB35" i="54" s="1"/>
  <c r="P36" i="54" s="1"/>
  <c r="E67" i="54" s="1"/>
  <c r="Y67" i="54" s="1"/>
  <c r="BV116" i="54"/>
  <c r="BS197" i="54"/>
  <c r="BU197" i="54"/>
  <c r="BW197" i="54"/>
  <c r="CA197" i="54"/>
  <c r="BX197" i="54"/>
  <c r="BY197" i="54"/>
  <c r="BQ197" i="54"/>
  <c r="BP197" i="54"/>
  <c r="BP198" i="54" s="1"/>
  <c r="BV197" i="54"/>
  <c r="BT197" i="54"/>
  <c r="BR197" i="54"/>
  <c r="BZ197" i="54"/>
  <c r="AF192" i="54"/>
  <c r="BN192" i="54" s="1"/>
  <c r="AC199" i="54"/>
  <c r="AD199" i="54" s="1"/>
  <c r="B199" i="54" s="1"/>
  <c r="BM192" i="54"/>
  <c r="AF268" i="54"/>
  <c r="K225" i="54"/>
  <c r="E551" i="52"/>
  <c r="K548" i="52"/>
  <c r="S518" i="54"/>
  <c r="E217" i="52"/>
  <c r="AA194" i="52"/>
  <c r="I550" i="52"/>
  <c r="BT530" i="52" s="1"/>
  <c r="I538" i="52"/>
  <c r="AV530" i="52" s="1"/>
  <c r="I552" i="52"/>
  <c r="BV530" i="52" s="1"/>
  <c r="I603" i="52"/>
  <c r="R603" i="52" s="1"/>
  <c r="I537" i="52"/>
  <c r="AU530" i="52" s="1"/>
  <c r="I596" i="52"/>
  <c r="R596" i="52" s="1"/>
  <c r="I607" i="52"/>
  <c r="R607" i="52" s="1"/>
  <c r="I535" i="52"/>
  <c r="AS530" i="52" s="1"/>
  <c r="I549" i="52"/>
  <c r="BS530" i="52" s="1"/>
  <c r="I539" i="52"/>
  <c r="AW530" i="52" s="1"/>
  <c r="I534" i="52"/>
  <c r="AR530" i="52" s="1"/>
  <c r="I604" i="52"/>
  <c r="R604" i="52" s="1"/>
  <c r="I536" i="52"/>
  <c r="AT530" i="52" s="1"/>
  <c r="I606" i="52"/>
  <c r="R606" i="52" s="1"/>
  <c r="BN197" i="52"/>
  <c r="AB199" i="52"/>
  <c r="AF273" i="52"/>
  <c r="BP122" i="52"/>
  <c r="BQ122" i="52" s="1"/>
  <c r="BR122" i="52" s="1"/>
  <c r="BS122" i="52" s="1"/>
  <c r="BT122" i="52" s="1"/>
  <c r="BU122" i="52" s="1"/>
  <c r="BV122" i="52" s="1"/>
  <c r="BW122" i="52" s="1"/>
  <c r="BX122" i="52" s="1"/>
  <c r="BY122" i="52" s="1"/>
  <c r="BZ122" i="52" s="1"/>
  <c r="P123" i="52" s="1"/>
  <c r="E146" i="52" s="1"/>
  <c r="Y146" i="52" s="1"/>
  <c r="AC345" i="52"/>
  <c r="BM274" i="52"/>
  <c r="AC275" i="52"/>
  <c r="AF272" i="52"/>
  <c r="AF192" i="52"/>
  <c r="BN198" i="52"/>
  <c r="AC199" i="52"/>
  <c r="AD199" i="52" s="1"/>
  <c r="B199" i="52" s="1"/>
  <c r="E605" i="52"/>
  <c r="K603" i="52"/>
  <c r="AF193" i="52"/>
  <c r="BN342" i="52"/>
  <c r="AA345" i="52"/>
  <c r="E140" i="52"/>
  <c r="K148" i="52"/>
  <c r="K300" i="52"/>
  <c r="E292" i="52"/>
  <c r="K375" i="52"/>
  <c r="E367" i="52"/>
  <c r="BN342" i="54"/>
  <c r="AA345" i="54"/>
  <c r="I605" i="54"/>
  <c r="R605" i="54" s="1"/>
  <c r="E292" i="54"/>
  <c r="BN349" i="54" l="1"/>
  <c r="AC350" i="54"/>
  <c r="AD350" i="54" s="1"/>
  <c r="B350" i="54" s="1"/>
  <c r="BT116" i="54"/>
  <c r="BU122" i="54"/>
  <c r="BV122" i="54" s="1"/>
  <c r="BW122" i="54" s="1"/>
  <c r="BX122" i="54" s="1"/>
  <c r="BY122" i="54" s="1"/>
  <c r="BZ122" i="54" s="1"/>
  <c r="P123" i="54" s="1"/>
  <c r="E146" i="54" s="1"/>
  <c r="BN272" i="54"/>
  <c r="AA275" i="54"/>
  <c r="AD275" i="54" s="1"/>
  <c r="B275" i="54" s="1"/>
  <c r="AP62" i="44"/>
  <c r="AY62" i="44"/>
  <c r="V91" i="34"/>
  <c r="W91" i="34" s="1"/>
  <c r="V92" i="34" s="1"/>
  <c r="W92" i="34" s="1"/>
  <c r="V93" i="34" s="1"/>
  <c r="W93" i="34" s="1"/>
  <c r="V94" i="34" s="1"/>
  <c r="W94" i="34" s="1"/>
  <c r="V95" i="34" s="1"/>
  <c r="W95" i="34" s="1"/>
  <c r="V96" i="34" s="1"/>
  <c r="W96" i="34" s="1"/>
  <c r="V97" i="34" s="1"/>
  <c r="W97" i="34" s="1"/>
  <c r="P90" i="34" s="1"/>
  <c r="C44" i="60" s="1"/>
  <c r="W453" i="48"/>
  <c r="W457" i="48" s="1"/>
  <c r="L466" i="48" s="1"/>
  <c r="Y470" i="48"/>
  <c r="J470" i="48" s="1"/>
  <c r="S470"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P21" i="50"/>
  <c r="E35" i="50" s="1"/>
  <c r="S35" i="50" s="1"/>
  <c r="J450" i="48"/>
  <c r="S450" i="48" s="1"/>
  <c r="R271" i="48"/>
  <c r="E194" i="48"/>
  <c r="S194" i="48" s="1"/>
  <c r="E154" i="50"/>
  <c r="S154" i="50" s="1"/>
  <c r="T156" i="50" s="1"/>
  <c r="E367" i="54"/>
  <c r="R367" i="54" s="1"/>
  <c r="U617" i="52"/>
  <c r="Y605" i="52"/>
  <c r="U616" i="52"/>
  <c r="U618" i="52" s="1"/>
  <c r="Y551" i="52"/>
  <c r="R66" i="52"/>
  <c r="E217" i="54"/>
  <c r="V217" i="54" s="1"/>
  <c r="P88" i="54"/>
  <c r="K148" i="54" s="1"/>
  <c r="V217" i="52"/>
  <c r="R217" i="52"/>
  <c r="K73" i="54"/>
  <c r="AQ70" i="44"/>
  <c r="AQ60" i="44"/>
  <c r="AR60" i="44" s="1"/>
  <c r="AQ61" i="44" s="1"/>
  <c r="AR61" i="44" s="1"/>
  <c r="AQ62" i="44" s="1"/>
  <c r="AR62" i="44" s="1"/>
  <c r="AQ63" i="44" s="1"/>
  <c r="AR63" i="44" s="1"/>
  <c r="AQ64" i="44" s="1"/>
  <c r="AR64" i="44" s="1"/>
  <c r="AQ65" i="44" s="1"/>
  <c r="AR65" i="44" s="1"/>
  <c r="I67" i="44" s="1"/>
  <c r="C45" i="60"/>
  <c r="C35" i="39"/>
  <c r="S35" i="39" s="1"/>
  <c r="V33" i="27"/>
  <c r="W33" i="27" s="1"/>
  <c r="V34" i="27" s="1"/>
  <c r="W34" i="27" s="1"/>
  <c r="V35" i="27" s="1"/>
  <c r="W35" i="27" s="1"/>
  <c r="P32" i="27" s="1"/>
  <c r="C36" i="39" s="1"/>
  <c r="S36" i="39" s="1"/>
  <c r="P32" i="41"/>
  <c r="C37" i="39" s="1"/>
  <c r="S37" i="39" s="1"/>
  <c r="C38" i="39"/>
  <c r="S38" i="39" s="1"/>
  <c r="C48" i="60"/>
  <c r="E366" i="48"/>
  <c r="W348" i="48"/>
  <c r="L362" i="48" s="1"/>
  <c r="S154" i="48"/>
  <c r="S114" i="48"/>
  <c r="T75" i="48"/>
  <c r="T76" i="48"/>
  <c r="T77" i="48"/>
  <c r="T74" i="48"/>
  <c r="T80" i="48"/>
  <c r="T78" i="48"/>
  <c r="T73" i="48"/>
  <c r="T79" i="48"/>
  <c r="T40" i="48"/>
  <c r="T35" i="48"/>
  <c r="T39" i="48"/>
  <c r="T37" i="48"/>
  <c r="T38" i="48"/>
  <c r="T36" i="48"/>
  <c r="T34" i="48"/>
  <c r="AC281" i="50"/>
  <c r="AD281" i="50" s="1"/>
  <c r="AC282" i="50" s="1"/>
  <c r="AD282" i="50" s="1"/>
  <c r="AC283" i="50" s="1"/>
  <c r="AD283" i="50" s="1"/>
  <c r="P337" i="50" s="1"/>
  <c r="AD118" i="52"/>
  <c r="B118" i="52" s="1"/>
  <c r="AH281" i="50"/>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AH292" i="50" s="1"/>
  <c r="AI292" i="50" s="1"/>
  <c r="P338" i="50" s="1"/>
  <c r="S114" i="50"/>
  <c r="S194" i="50"/>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V67" i="54"/>
  <c r="I67" i="54"/>
  <c r="R67" i="54" s="1"/>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Y223" i="54" s="1"/>
  <c r="I223" i="54" s="1"/>
  <c r="AB194" i="54"/>
  <c r="AD194" i="54" s="1"/>
  <c r="B194" i="54" s="1"/>
  <c r="I551" i="52"/>
  <c r="BU530" i="52" s="1"/>
  <c r="V146" i="52"/>
  <c r="I146" i="52"/>
  <c r="R146" i="52" s="1"/>
  <c r="BN272" i="52"/>
  <c r="AA275" i="52"/>
  <c r="V68" i="52"/>
  <c r="S518" i="52"/>
  <c r="BN273" i="52"/>
  <c r="AB275" i="52"/>
  <c r="I605" i="52"/>
  <c r="R605"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R140" i="52"/>
  <c r="R367" i="52"/>
  <c r="R292" i="52"/>
  <c r="V367" i="52"/>
  <c r="V140" i="52"/>
  <c r="V292" i="52"/>
  <c r="V292" i="54"/>
  <c r="CA343" i="54"/>
  <c r="BX343" i="54"/>
  <c r="BW343" i="54"/>
  <c r="BR343" i="54"/>
  <c r="BV343" i="54"/>
  <c r="BS343" i="54"/>
  <c r="BP343" i="54"/>
  <c r="BQ343" i="54"/>
  <c r="BT343" i="54"/>
  <c r="BZ343" i="54"/>
  <c r="BU343" i="54"/>
  <c r="BY343" i="54"/>
  <c r="R292" i="54"/>
  <c r="BP193" i="54" l="1"/>
  <c r="BQ193" i="54" s="1"/>
  <c r="BR193" i="54" s="1"/>
  <c r="BP117" i="54"/>
  <c r="BQ117" i="54" s="1"/>
  <c r="BR117" i="54" s="1"/>
  <c r="BS117" i="54" s="1"/>
  <c r="BT117" i="54" s="1"/>
  <c r="BU117" i="54" s="1"/>
  <c r="BV117" i="54" s="1"/>
  <c r="BW117" i="54" s="1"/>
  <c r="BX117" i="54" s="1"/>
  <c r="BY117" i="54" s="1"/>
  <c r="BZ117" i="54" s="1"/>
  <c r="P118" i="54" s="1"/>
  <c r="E145" i="54" s="1"/>
  <c r="Y145" i="54" s="1"/>
  <c r="I145" i="54" s="1"/>
  <c r="CA273" i="54"/>
  <c r="BW273" i="54"/>
  <c r="BP273" i="54"/>
  <c r="BU273" i="54"/>
  <c r="BY273" i="54"/>
  <c r="BZ273" i="54"/>
  <c r="BX273" i="54"/>
  <c r="BT273" i="54"/>
  <c r="BR273" i="54"/>
  <c r="BQ273" i="54"/>
  <c r="BS273" i="54"/>
  <c r="BV273" i="54"/>
  <c r="Y146" i="54"/>
  <c r="I146" i="54" s="1"/>
  <c r="R146" i="54" s="1"/>
  <c r="V146" i="54"/>
  <c r="I72" i="44"/>
  <c r="Q72" i="44" s="1"/>
  <c r="Y90" i="44"/>
  <c r="M86" i="44"/>
  <c r="S89" i="44"/>
  <c r="AE89" i="44" s="1"/>
  <c r="S90" i="44" s="1"/>
  <c r="AE90" i="44" s="1"/>
  <c r="S91" i="44" s="1"/>
  <c r="AE91" i="44" s="1"/>
  <c r="M94" i="44" s="1"/>
  <c r="V94" i="44" s="1"/>
  <c r="AE94" i="44" s="1"/>
  <c r="C34" i="39"/>
  <c r="S34" i="39" s="1"/>
  <c r="T159" i="50"/>
  <c r="T158" i="50"/>
  <c r="T157" i="50"/>
  <c r="T154" i="50"/>
  <c r="V367" i="54"/>
  <c r="R217" i="54"/>
  <c r="BS193" i="54"/>
  <c r="BT193" i="54" s="1"/>
  <c r="BU193" i="54" s="1"/>
  <c r="BV193" i="54" s="1"/>
  <c r="BW193" i="54" s="1"/>
  <c r="BX193" i="54" s="1"/>
  <c r="BY193" i="54" s="1"/>
  <c r="BZ193" i="54" s="1"/>
  <c r="Y68" i="54"/>
  <c r="I68" i="54" s="1"/>
  <c r="R68" i="54" s="1"/>
  <c r="V68" i="54"/>
  <c r="BP349" i="54"/>
  <c r="BQ349" i="54" s="1"/>
  <c r="BR349" i="54" s="1"/>
  <c r="BS349" i="54" s="1"/>
  <c r="BT349" i="54" s="1"/>
  <c r="BU349" i="54" s="1"/>
  <c r="BV349" i="54" s="1"/>
  <c r="BW349" i="54" s="1"/>
  <c r="BX349" i="54" s="1"/>
  <c r="BY349" i="54" s="1"/>
  <c r="BZ349" i="54" s="1"/>
  <c r="P350" i="54" s="1"/>
  <c r="E373" i="54" s="1"/>
  <c r="L37" i="50"/>
  <c r="T160" i="50"/>
  <c r="Y366" i="48"/>
  <c r="J366" i="48" s="1"/>
  <c r="S366" i="48" s="1"/>
  <c r="T155" i="50"/>
  <c r="E140" i="54"/>
  <c r="T153" i="50"/>
  <c r="E66" i="54"/>
  <c r="V66" i="54" s="1"/>
  <c r="AP70" i="44"/>
  <c r="I71" i="44" s="1"/>
  <c r="Q71" i="44" s="1"/>
  <c r="C47" i="60"/>
  <c r="C46" i="60"/>
  <c r="R270" i="48"/>
  <c r="U34" i="48"/>
  <c r="V34" i="48" s="1"/>
  <c r="U35" i="48" s="1"/>
  <c r="V35" i="48" s="1"/>
  <c r="U36" i="48" s="1"/>
  <c r="V36" i="48" s="1"/>
  <c r="U37" i="48" s="1"/>
  <c r="V37" i="48" s="1"/>
  <c r="U38" i="48" s="1"/>
  <c r="V38" i="48" s="1"/>
  <c r="U39" i="48" s="1"/>
  <c r="V39" i="48" s="1"/>
  <c r="S353" i="48"/>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4" i="50"/>
  <c r="E366" i="50"/>
  <c r="Y366" i="50" s="1"/>
  <c r="W453" i="50"/>
  <c r="W457" i="50" s="1"/>
  <c r="L466" i="50" s="1"/>
  <c r="E470" i="50"/>
  <c r="Y470"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P194" i="54"/>
  <c r="E222" i="54" s="1"/>
  <c r="Y222" i="54" s="1"/>
  <c r="I222" i="54" s="1"/>
  <c r="CA268" i="54"/>
  <c r="BV268" i="54"/>
  <c r="BY268" i="54"/>
  <c r="BZ268" i="54"/>
  <c r="BQ268" i="54"/>
  <c r="BP268" i="54"/>
  <c r="BR268" i="54"/>
  <c r="BU268" i="54"/>
  <c r="BT268" i="54"/>
  <c r="BW268" i="54"/>
  <c r="BS268" i="54"/>
  <c r="BX268" i="54"/>
  <c r="V145" i="54"/>
  <c r="R145" i="54"/>
  <c r="V223" i="54"/>
  <c r="R223"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Y372" i="54" s="1"/>
  <c r="T50" i="60" l="1"/>
  <c r="BP274" i="54"/>
  <c r="BQ274" i="54" s="1"/>
  <c r="BR274" i="54" s="1"/>
  <c r="BS274" i="54" s="1"/>
  <c r="BT274" i="54" s="1"/>
  <c r="BU274" i="54" s="1"/>
  <c r="BV274" i="54" s="1"/>
  <c r="BW274" i="54" s="1"/>
  <c r="BX274" i="54" s="1"/>
  <c r="BY274" i="54" s="1"/>
  <c r="BZ274" i="54" s="1"/>
  <c r="P275" i="54" s="1"/>
  <c r="E298"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U153" i="50"/>
  <c r="V153" i="50" s="1"/>
  <c r="U154" i="50" s="1"/>
  <c r="V154" i="50" s="1"/>
  <c r="U155" i="50" s="1"/>
  <c r="V155" i="50" s="1"/>
  <c r="U156" i="50" s="1"/>
  <c r="V156" i="50" s="1"/>
  <c r="U157" i="50" s="1"/>
  <c r="V157" i="50" s="1"/>
  <c r="U158" i="50" s="1"/>
  <c r="V158" i="50" s="1"/>
  <c r="U159" i="50" s="1"/>
  <c r="V159" i="50" s="1"/>
  <c r="Y373" i="54"/>
  <c r="I373" i="54" s="1"/>
  <c r="R373" i="54" s="1"/>
  <c r="V373" i="54"/>
  <c r="R66" i="54"/>
  <c r="S61" i="54" s="1"/>
  <c r="V140" i="54"/>
  <c r="W138" i="54" s="1"/>
  <c r="R140" i="54"/>
  <c r="S145" i="54" s="1"/>
  <c r="W62" i="54"/>
  <c r="W61" i="54"/>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1" i="48" s="1"/>
  <c r="AR49" i="51" s="1"/>
  <c r="AS49" i="51" s="1"/>
  <c r="AT49" i="51" s="1"/>
  <c r="L271" i="48" s="1"/>
  <c r="R271" i="50"/>
  <c r="J366" i="50"/>
  <c r="S366"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Y297" i="54" s="1"/>
  <c r="I297" i="54" s="1"/>
  <c r="V222" i="54"/>
  <c r="R222" i="54"/>
  <c r="X61" i="52"/>
  <c r="R518"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Y298" i="54" l="1"/>
  <c r="I298" i="54" s="1"/>
  <c r="R298" i="54" s="1"/>
  <c r="V298" i="54"/>
  <c r="AN71" i="44"/>
  <c r="AN72" i="44" s="1"/>
  <c r="Q73" i="4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AE73" i="44"/>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19" i="54" s="1"/>
  <c r="S148" i="54"/>
  <c r="S150" i="54"/>
  <c r="S146" i="54"/>
  <c r="S144" i="54"/>
  <c r="S139" i="54"/>
  <c r="S71" i="54"/>
  <c r="S68" i="54"/>
  <c r="P33" i="48"/>
  <c r="C270" i="48" s="1"/>
  <c r="AR48" i="51" s="1"/>
  <c r="AS48" i="51" s="1"/>
  <c r="AT48" i="51" s="1"/>
  <c r="L270" i="48" s="1"/>
  <c r="X61" i="54"/>
  <c r="R518" i="54" s="1"/>
  <c r="Y76" i="44"/>
  <c r="P192" i="48"/>
  <c r="C274" i="48" s="1"/>
  <c r="AR52" i="51" s="1"/>
  <c r="AS52" i="51" s="1"/>
  <c r="AT52" i="51" s="1"/>
  <c r="L274" i="48" s="1"/>
  <c r="C480" i="48"/>
  <c r="C494" i="48"/>
  <c r="P152" i="50"/>
  <c r="C482" i="50" s="1"/>
  <c r="V222" i="52"/>
  <c r="J470" i="50"/>
  <c r="S470" i="50" s="1"/>
  <c r="I145" i="52"/>
  <c r="R145" i="52"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R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216" i="52"/>
  <c r="W215" i="52"/>
  <c r="I372" i="54"/>
  <c r="R372" i="54" s="1"/>
  <c r="W365" i="54"/>
  <c r="W366" i="54"/>
  <c r="T138" i="54" l="1"/>
  <c r="U138" i="54" s="1"/>
  <c r="T139" i="54" s="1"/>
  <c r="U139" i="54" s="1"/>
  <c r="Q38" i="60"/>
  <c r="Q66" i="60"/>
  <c r="G65" i="60" s="1"/>
  <c r="Q69" i="60"/>
  <c r="N39" i="60"/>
  <c r="K39" i="60"/>
  <c r="G60"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0" i="54" s="1"/>
  <c r="T140" i="54"/>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17" i="54" s="1"/>
  <c r="C493" i="48"/>
  <c r="H493" i="48" s="1"/>
  <c r="P112" i="48"/>
  <c r="C272" i="48" s="1"/>
  <c r="AR50" i="51" s="1"/>
  <c r="AS50" i="51" s="1"/>
  <c r="AT50" i="51" s="1"/>
  <c r="L272" i="48" s="1"/>
  <c r="P152" i="48"/>
  <c r="C273" i="48" s="1"/>
  <c r="AR51" i="51" s="1"/>
  <c r="AS51" i="51" s="1"/>
  <c r="AT51" i="51" s="1"/>
  <c r="L273" i="48" s="1"/>
  <c r="C479" i="48"/>
  <c r="S479" i="48" s="1"/>
  <c r="T479" i="48" s="1"/>
  <c r="C497" i="48"/>
  <c r="C483" i="48"/>
  <c r="R494" i="48"/>
  <c r="C30" i="60" s="1"/>
  <c r="H494" i="48"/>
  <c r="S480" i="48"/>
  <c r="T480" i="48" s="1"/>
  <c r="R493" i="48"/>
  <c r="C29" i="60" s="1"/>
  <c r="C496" i="50"/>
  <c r="P112" i="50"/>
  <c r="P192" i="50"/>
  <c r="S482" i="50"/>
  <c r="T482" i="50" s="1"/>
  <c r="X138" i="52"/>
  <c r="R519" i="52" s="1"/>
  <c r="W366" i="52"/>
  <c r="X365" i="52" s="1"/>
  <c r="R522" i="52" s="1"/>
  <c r="S152" i="52"/>
  <c r="S150" i="52"/>
  <c r="S143" i="52"/>
  <c r="S145" i="52"/>
  <c r="S151" i="52"/>
  <c r="S146" i="52"/>
  <c r="S149" i="52"/>
  <c r="S140" i="52"/>
  <c r="S141" i="52"/>
  <c r="S138" i="52"/>
  <c r="S139" i="52"/>
  <c r="S148" i="52"/>
  <c r="S142" i="52"/>
  <c r="S147" i="52"/>
  <c r="S144" i="52"/>
  <c r="X215" i="54"/>
  <c r="R520"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0"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2" i="54" s="1"/>
  <c r="S376" i="54"/>
  <c r="S371" i="54"/>
  <c r="S368" i="54"/>
  <c r="S372" i="54"/>
  <c r="S378" i="54"/>
  <c r="S366" i="54"/>
  <c r="S375" i="54"/>
  <c r="S374" i="54"/>
  <c r="S377" i="54"/>
  <c r="S379" i="54"/>
  <c r="S369" i="54"/>
  <c r="S367" i="54"/>
  <c r="S373" i="54"/>
  <c r="S365" i="54"/>
  <c r="S370" i="54"/>
  <c r="G64" i="60" l="1"/>
  <c r="G62" i="60"/>
  <c r="G55" i="60"/>
  <c r="G59" i="60"/>
  <c r="Q39" i="60"/>
  <c r="N59" i="60"/>
  <c r="Q63" i="60" s="1"/>
  <c r="G57" i="60"/>
  <c r="G61" i="60"/>
  <c r="Q48" i="60"/>
  <c r="G56" i="60"/>
  <c r="G63" i="60"/>
  <c r="AL69" i="44"/>
  <c r="C33" i="39" s="1"/>
  <c r="S33" i="39" s="1"/>
  <c r="AM75" i="44"/>
  <c r="R33" i="39" s="1"/>
  <c r="B80" i="44"/>
  <c r="C481" i="48"/>
  <c r="C495" i="48"/>
  <c r="H495" i="48" s="1"/>
  <c r="P270" i="48"/>
  <c r="E367" i="48" s="1"/>
  <c r="U479" i="48" s="1"/>
  <c r="C496" i="48"/>
  <c r="R496" i="48" s="1"/>
  <c r="C32" i="60" s="1"/>
  <c r="C482" i="48"/>
  <c r="N482" i="48" s="1"/>
  <c r="C518" i="54"/>
  <c r="V518" i="54" s="1"/>
  <c r="C616" i="54"/>
  <c r="S616" i="54" s="1"/>
  <c r="T616" i="54" s="1"/>
  <c r="S483" i="48"/>
  <c r="T483" i="48" s="1"/>
  <c r="R497" i="48"/>
  <c r="C33" i="60" s="1"/>
  <c r="H497" i="48"/>
  <c r="S481" i="48"/>
  <c r="T481" i="48" s="1"/>
  <c r="N30" i="60"/>
  <c r="K30" i="60"/>
  <c r="N29" i="60"/>
  <c r="K29" i="60"/>
  <c r="H496" i="50"/>
  <c r="C497" i="50"/>
  <c r="C483" i="50"/>
  <c r="S483" i="50" s="1"/>
  <c r="T483" i="50" s="1"/>
  <c r="C481" i="50"/>
  <c r="C495" i="50"/>
  <c r="C479" i="50"/>
  <c r="S479" i="50" s="1"/>
  <c r="T479" i="50" s="1"/>
  <c r="C493"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1" i="54" s="1"/>
  <c r="R524"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1" i="52" s="1"/>
  <c r="R523" i="52" s="1"/>
  <c r="C616" i="52"/>
  <c r="S616" i="52" s="1"/>
  <c r="T616" i="52" s="1"/>
  <c r="C630" i="52"/>
  <c r="H630" i="52" s="1"/>
  <c r="C518"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1" i="54"/>
  <c r="H631" i="54" s="1"/>
  <c r="C519"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0" i="54"/>
  <c r="S617" i="54"/>
  <c r="T617" i="54" s="1"/>
  <c r="AL75" i="44" l="1"/>
  <c r="R34" i="39" s="1"/>
  <c r="B33" i="39" s="1"/>
  <c r="N481" i="48"/>
  <c r="R495" i="48"/>
  <c r="C31" i="60" s="1"/>
  <c r="K31" i="60" s="1"/>
  <c r="N483" i="48"/>
  <c r="J483" i="48"/>
  <c r="C31" i="39" s="1"/>
  <c r="S31" i="39" s="1"/>
  <c r="J481" i="48"/>
  <c r="C29" i="39" s="1"/>
  <c r="S29" i="39" s="1"/>
  <c r="N480" i="48"/>
  <c r="N479" i="48"/>
  <c r="J480" i="48"/>
  <c r="C28" i="39" s="1"/>
  <c r="S28" i="39" s="1"/>
  <c r="J479" i="48"/>
  <c r="C27" i="39" s="1"/>
  <c r="S27" i="39" s="1"/>
  <c r="H496" i="48"/>
  <c r="S367" i="48"/>
  <c r="T367" i="48" s="1"/>
  <c r="S482" i="48"/>
  <c r="T482" i="48" s="1"/>
  <c r="J482" i="48" s="1"/>
  <c r="C30" i="39" s="1"/>
  <c r="S30" i="39" s="1"/>
  <c r="AT90" i="55"/>
  <c r="AU90" i="55" s="1"/>
  <c r="AV90" i="55" s="1"/>
  <c r="L518" i="54" s="1"/>
  <c r="U518" i="54" s="1"/>
  <c r="T518" i="54"/>
  <c r="Q29" i="60"/>
  <c r="N33" i="60"/>
  <c r="K33" i="60"/>
  <c r="N32" i="60"/>
  <c r="K32" i="60"/>
  <c r="Q30" i="60"/>
  <c r="H495" i="50"/>
  <c r="H497" i="50"/>
  <c r="H493" i="50"/>
  <c r="S481" i="50"/>
  <c r="T481" i="50" s="1"/>
  <c r="R523" i="54"/>
  <c r="C632" i="54"/>
  <c r="H632" i="54" s="1"/>
  <c r="C520" i="54"/>
  <c r="C618" i="54"/>
  <c r="S618" i="54" s="1"/>
  <c r="T618" i="54" s="1"/>
  <c r="R524" i="52"/>
  <c r="V518" i="52"/>
  <c r="BD90" i="55"/>
  <c r="BE90" i="55" s="1"/>
  <c r="BF90" i="55" s="1"/>
  <c r="L518" i="52" s="1"/>
  <c r="U518" i="52" s="1"/>
  <c r="T518"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19" i="54"/>
  <c r="V519" i="54"/>
  <c r="AT91" i="55"/>
  <c r="AU91" i="55" s="1"/>
  <c r="AV91" i="55" s="1"/>
  <c r="L519" i="54" s="1"/>
  <c r="U519" i="54" s="1"/>
  <c r="N31" i="60" l="1"/>
  <c r="Q31" i="60" s="1"/>
  <c r="T356" i="48"/>
  <c r="T358" i="48"/>
  <c r="T365" i="48"/>
  <c r="T346" i="48"/>
  <c r="T348" i="48"/>
  <c r="T345" i="48"/>
  <c r="T364" i="48"/>
  <c r="T360" i="48"/>
  <c r="T357" i="48"/>
  <c r="T351" i="48"/>
  <c r="T362" i="48"/>
  <c r="T349" i="48"/>
  <c r="T350" i="48"/>
  <c r="T363" i="48"/>
  <c r="T344" i="48"/>
  <c r="T359" i="48"/>
  <c r="T352" i="48"/>
  <c r="T347" i="48"/>
  <c r="T353" i="48"/>
  <c r="T342" i="48"/>
  <c r="T366" i="48"/>
  <c r="T354" i="48"/>
  <c r="T355" i="48"/>
  <c r="T343" i="48"/>
  <c r="T361" i="48"/>
  <c r="Q32" i="60"/>
  <c r="Q33" i="60"/>
  <c r="C632" i="52"/>
  <c r="H632" i="52" s="1"/>
  <c r="C634" i="52"/>
  <c r="H634" i="52" s="1"/>
  <c r="C617" i="52"/>
  <c r="S617" i="52" s="1"/>
  <c r="T617" i="52" s="1"/>
  <c r="T520" i="54"/>
  <c r="AT92" i="55"/>
  <c r="AU92" i="55" s="1"/>
  <c r="AV92" i="55" s="1"/>
  <c r="L520" i="54" s="1"/>
  <c r="U520" i="54" s="1"/>
  <c r="V520" i="54"/>
  <c r="C633" i="54"/>
  <c r="H633" i="54" s="1"/>
  <c r="C521" i="54"/>
  <c r="C619" i="54"/>
  <c r="S619" i="54" s="1"/>
  <c r="T619" i="54" s="1"/>
  <c r="C620" i="54"/>
  <c r="S620" i="54" s="1"/>
  <c r="T620" i="54" s="1"/>
  <c r="U342" i="48" l="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U366" i="48" s="1"/>
  <c r="V366" i="48" s="1"/>
  <c r="P341" i="48" s="1"/>
  <c r="C446" i="48" s="1"/>
  <c r="AR68" i="51" s="1"/>
  <c r="AS68" i="51" s="1"/>
  <c r="AT68" i="51" s="1"/>
  <c r="L446" i="48" s="1"/>
  <c r="P446" i="48" s="1"/>
  <c r="E471" i="48" s="1"/>
  <c r="C631" i="52"/>
  <c r="H631" i="52" s="1"/>
  <c r="C519" i="52"/>
  <c r="BD91" i="55" s="1"/>
  <c r="BE91" i="55" s="1"/>
  <c r="BF91" i="55" s="1"/>
  <c r="L519" i="52" s="1"/>
  <c r="U519" i="52" s="1"/>
  <c r="C520" i="52"/>
  <c r="BD92" i="55" s="1"/>
  <c r="BE92" i="55" s="1"/>
  <c r="BF92" i="55" s="1"/>
  <c r="L520" i="52" s="1"/>
  <c r="C618" i="52"/>
  <c r="S618" i="52" s="1"/>
  <c r="T618" i="52" s="1"/>
  <c r="C620" i="52"/>
  <c r="S620" i="52" s="1"/>
  <c r="T620" i="52" s="1"/>
  <c r="C522" i="52"/>
  <c r="T522" i="52" s="1"/>
  <c r="C633" i="52"/>
  <c r="H633" i="52" s="1"/>
  <c r="V521" i="54"/>
  <c r="AT93" i="55"/>
  <c r="AU93" i="55" s="1"/>
  <c r="AV93" i="55" s="1"/>
  <c r="L521" i="54" s="1"/>
  <c r="U521" i="54" s="1"/>
  <c r="T521" i="54"/>
  <c r="C634" i="54"/>
  <c r="H634" i="54" s="1"/>
  <c r="C522" i="54"/>
  <c r="V522" i="54" s="1"/>
  <c r="U480" i="48" l="1"/>
  <c r="U481" i="48" s="1"/>
  <c r="C484" i="48"/>
  <c r="C498" i="48"/>
  <c r="V520" i="52"/>
  <c r="T520" i="52"/>
  <c r="T519" i="52"/>
  <c r="C521" i="52"/>
  <c r="T524" i="52" s="1"/>
  <c r="C619" i="52"/>
  <c r="S619" i="52" s="1"/>
  <c r="T619" i="52" s="1"/>
  <c r="V519" i="52"/>
  <c r="V522" i="52"/>
  <c r="BD94" i="55"/>
  <c r="BE94" i="55" s="1"/>
  <c r="BF94" i="55" s="1"/>
  <c r="L522" i="52" s="1"/>
  <c r="U522" i="52" s="1"/>
  <c r="Z521" i="54"/>
  <c r="Z522" i="54"/>
  <c r="Z518" i="54"/>
  <c r="Z520" i="54"/>
  <c r="Z519" i="54"/>
  <c r="AT94" i="55"/>
  <c r="AU94" i="55" s="1"/>
  <c r="AV94" i="55" s="1"/>
  <c r="L522" i="54" s="1"/>
  <c r="U522" i="54" s="1"/>
  <c r="U523" i="54" s="1"/>
  <c r="T522" i="54"/>
  <c r="T523" i="54" s="1"/>
  <c r="T524" i="54"/>
  <c r="U520" i="52"/>
  <c r="S471" i="48" l="1"/>
  <c r="R498" i="48"/>
  <c r="C28" i="60" s="1"/>
  <c r="H498" i="48"/>
  <c r="S484" i="48"/>
  <c r="T484" i="48" s="1"/>
  <c r="N484" i="48"/>
  <c r="V521" i="52"/>
  <c r="Z522" i="52" s="1"/>
  <c r="T521" i="52"/>
  <c r="T523" i="52" s="1"/>
  <c r="BD93" i="55"/>
  <c r="BE93" i="55" s="1"/>
  <c r="BF93" i="55" s="1"/>
  <c r="L521" i="52" s="1"/>
  <c r="U521" i="52" s="1"/>
  <c r="U523" i="52" s="1"/>
  <c r="AA518" i="54"/>
  <c r="AB518" i="54" s="1"/>
  <c r="AA519" i="54" s="1"/>
  <c r="AB519" i="54" s="1"/>
  <c r="AA520" i="54" s="1"/>
  <c r="AB520" i="54" s="1"/>
  <c r="AA521" i="54" s="1"/>
  <c r="AB521" i="54" s="1"/>
  <c r="V523" i="54" s="1"/>
  <c r="W518" i="54"/>
  <c r="T461" i="48" l="1"/>
  <c r="T450" i="48"/>
  <c r="T456" i="48"/>
  <c r="T458" i="48"/>
  <c r="T455" i="48"/>
  <c r="T454" i="48"/>
  <c r="T465" i="48"/>
  <c r="T466" i="48"/>
  <c r="T463" i="48"/>
  <c r="T460" i="48"/>
  <c r="T467" i="48"/>
  <c r="T462" i="48"/>
  <c r="T451" i="48"/>
  <c r="T464" i="48"/>
  <c r="T468" i="48"/>
  <c r="T453" i="48"/>
  <c r="T469" i="48"/>
  <c r="T449" i="48"/>
  <c r="T459" i="48"/>
  <c r="T457" i="48"/>
  <c r="T471" i="48"/>
  <c r="T452" i="48"/>
  <c r="T470" i="48"/>
  <c r="N28" i="60"/>
  <c r="K28" i="60"/>
  <c r="Z518" i="52"/>
  <c r="Z520" i="52"/>
  <c r="Z519" i="52"/>
  <c r="W518" i="52"/>
  <c r="Z521" i="52"/>
  <c r="U524" i="54"/>
  <c r="B524" i="54" s="1"/>
  <c r="P518" i="54" s="1"/>
  <c r="I618" i="54" s="1"/>
  <c r="C8" i="39" s="1"/>
  <c r="S8" i="39" s="1"/>
  <c r="M618" i="54" l="1"/>
  <c r="U449" i="48"/>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V469" i="48" s="1"/>
  <c r="U470" i="48" s="1"/>
  <c r="Q28" i="60"/>
  <c r="O633" i="54"/>
  <c r="R633" i="54" s="1"/>
  <c r="C11" i="60" s="1"/>
  <c r="K11" i="60" s="1"/>
  <c r="O632" i="54"/>
  <c r="R632" i="54" s="1"/>
  <c r="C10" i="60" s="1"/>
  <c r="N10" i="60" s="1"/>
  <c r="O631" i="54"/>
  <c r="R631" i="54" s="1"/>
  <c r="C9" i="60" s="1"/>
  <c r="K9" i="60" s="1"/>
  <c r="O634" i="54"/>
  <c r="R634" i="54" s="1"/>
  <c r="C12" i="60" s="1"/>
  <c r="N12" i="60" s="1"/>
  <c r="O630" i="54"/>
  <c r="R630" i="54" s="1"/>
  <c r="C8" i="60" s="1"/>
  <c r="N8" i="60" s="1"/>
  <c r="AA518" i="52"/>
  <c r="AB518" i="52" s="1"/>
  <c r="AA519" i="52" s="1"/>
  <c r="AB519" i="52" s="1"/>
  <c r="AA520" i="52" s="1"/>
  <c r="AB520" i="52" s="1"/>
  <c r="AA521" i="52" s="1"/>
  <c r="AB521" i="52" s="1"/>
  <c r="V523" i="52" s="1"/>
  <c r="U524" i="52" s="1"/>
  <c r="B524" i="52" s="1"/>
  <c r="P518" i="52" s="1"/>
  <c r="M617" i="54"/>
  <c r="I616" i="54"/>
  <c r="C6" i="39" s="1"/>
  <c r="S6" i="39" s="1"/>
  <c r="M616" i="54"/>
  <c r="I617" i="54"/>
  <c r="C7" i="39" s="1"/>
  <c r="S7" i="39" s="1"/>
  <c r="I619" i="54"/>
  <c r="C9" i="39" s="1"/>
  <c r="S9" i="39" s="1"/>
  <c r="M619" i="54"/>
  <c r="M620" i="54"/>
  <c r="E553" i="54"/>
  <c r="U616" i="54" s="1"/>
  <c r="U618" i="54" s="1"/>
  <c r="I620" i="54"/>
  <c r="C10" i="39" s="1"/>
  <c r="S10" i="39" s="1"/>
  <c r="M617" i="52" l="1"/>
  <c r="M620" i="52"/>
  <c r="N11" i="60"/>
  <c r="Q11" i="60" s="1"/>
  <c r="K12" i="60"/>
  <c r="Q12" i="60" s="1"/>
  <c r="K10" i="60"/>
  <c r="Q10" i="60" s="1"/>
  <c r="K8" i="60"/>
  <c r="Q8" i="60" s="1"/>
  <c r="V470" i="48"/>
  <c r="BW530" i="54"/>
  <c r="N9" i="60"/>
  <c r="Q9" i="60" s="1"/>
  <c r="M618" i="52"/>
  <c r="O634" i="52"/>
  <c r="R634" i="52" s="1"/>
  <c r="C19" i="60" s="1"/>
  <c r="O630" i="52"/>
  <c r="R630" i="52" s="1"/>
  <c r="C15" i="60" s="1"/>
  <c r="O631" i="52"/>
  <c r="R631" i="52" s="1"/>
  <c r="C16" i="60" s="1"/>
  <c r="O632" i="52"/>
  <c r="R632" i="52" s="1"/>
  <c r="C17" i="60" s="1"/>
  <c r="O633" i="52"/>
  <c r="R633" i="52" s="1"/>
  <c r="C18" i="60" s="1"/>
  <c r="I617" i="52"/>
  <c r="C14" i="39" s="1"/>
  <c r="S14" i="39" s="1"/>
  <c r="M619" i="52"/>
  <c r="M616" i="52"/>
  <c r="I618" i="52"/>
  <c r="C15" i="39" s="1"/>
  <c r="S15" i="39" s="1"/>
  <c r="I619" i="52"/>
  <c r="C16" i="39" s="1"/>
  <c r="S16" i="39" s="1"/>
  <c r="I620" i="52"/>
  <c r="C17" i="39" s="1"/>
  <c r="S17" i="39" s="1"/>
  <c r="E553" i="52"/>
  <c r="BW530" i="52" s="1"/>
  <c r="AN531" i="52" s="1"/>
  <c r="I616" i="52"/>
  <c r="C13" i="39" s="1"/>
  <c r="S13" i="39" s="1"/>
  <c r="P448" i="48" l="1"/>
  <c r="R491" i="48"/>
  <c r="K18" i="60"/>
  <c r="N18" i="60"/>
  <c r="N17" i="60"/>
  <c r="K17" i="60"/>
  <c r="K16" i="60"/>
  <c r="N16" i="60"/>
  <c r="N15" i="60"/>
  <c r="K15" i="60"/>
  <c r="N19" i="60"/>
  <c r="K19" i="60"/>
  <c r="AR531" i="52"/>
  <c r="BH531" i="52"/>
  <c r="BK531" i="52"/>
  <c r="BL531" i="52"/>
  <c r="AM531" i="52"/>
  <c r="BE531" i="52"/>
  <c r="BU531" i="52"/>
  <c r="AL531" i="52"/>
  <c r="AW531" i="52"/>
  <c r="BJ531" i="52"/>
  <c r="BP531" i="52"/>
  <c r="AY531" i="52"/>
  <c r="BC531" i="52"/>
  <c r="BR531" i="52"/>
  <c r="BT531" i="52"/>
  <c r="BV531" i="52"/>
  <c r="AX531" i="52"/>
  <c r="BG531" i="52"/>
  <c r="BI531" i="52"/>
  <c r="BW531" i="52"/>
  <c r="BA531" i="52"/>
  <c r="BB531" i="52"/>
  <c r="AS531" i="52"/>
  <c r="BS531" i="52"/>
  <c r="BN531" i="52"/>
  <c r="BO531" i="52"/>
  <c r="BQ531" i="52"/>
  <c r="AO531" i="52"/>
  <c r="AQ531" i="52"/>
  <c r="BD531" i="52"/>
  <c r="AV531" i="52"/>
  <c r="AZ531" i="52"/>
  <c r="AT531" i="52"/>
  <c r="BF531" i="52"/>
  <c r="AU531" i="52"/>
  <c r="BM531" i="52"/>
  <c r="AP531" i="52"/>
  <c r="AL531" i="54"/>
  <c r="AY531" i="54"/>
  <c r="AR531" i="54"/>
  <c r="BK531" i="54"/>
  <c r="BS531" i="54"/>
  <c r="AV531" i="54"/>
  <c r="BV531" i="54"/>
  <c r="BQ531" i="54"/>
  <c r="AQ531" i="54"/>
  <c r="BC531" i="54"/>
  <c r="BR531" i="54"/>
  <c r="BM531" i="54"/>
  <c r="BT531" i="54"/>
  <c r="BE531" i="54"/>
  <c r="BO531" i="54"/>
  <c r="BD531" i="54"/>
  <c r="BA531" i="54"/>
  <c r="BG531" i="54"/>
  <c r="AX531" i="54"/>
  <c r="AT531" i="54"/>
  <c r="AS531" i="54"/>
  <c r="AU531" i="54"/>
  <c r="BJ531" i="54"/>
  <c r="BP531" i="54"/>
  <c r="BN531" i="54"/>
  <c r="AP531" i="54"/>
  <c r="BB531" i="54"/>
  <c r="BW531" i="54"/>
  <c r="AO531" i="54"/>
  <c r="BU531" i="54"/>
  <c r="AW531" i="54"/>
  <c r="AM531" i="54"/>
  <c r="AZ531" i="54"/>
  <c r="BF531" i="54"/>
  <c r="BI531" i="54"/>
  <c r="AN531" i="54"/>
  <c r="BH531" i="54"/>
  <c r="BL531" i="54"/>
  <c r="C485" i="48" l="1"/>
  <c r="C499" i="48"/>
  <c r="Q17" i="60"/>
  <c r="Q16" i="60"/>
  <c r="Q19" i="60"/>
  <c r="Q18" i="60"/>
  <c r="Q15" i="60"/>
  <c r="AL532" i="52"/>
  <c r="AL533" i="52" s="1"/>
  <c r="AM532" i="52" s="1"/>
  <c r="AM533" i="52" s="1"/>
  <c r="AN532" i="52" s="1"/>
  <c r="AN533" i="52" s="1"/>
  <c r="AO532" i="52" s="1"/>
  <c r="AO533" i="52" s="1"/>
  <c r="AP532" i="52" s="1"/>
  <c r="AP533" i="52" s="1"/>
  <c r="AQ532" i="52" s="1"/>
  <c r="AQ533" i="52" s="1"/>
  <c r="AR532" i="52" s="1"/>
  <c r="AR533" i="52" s="1"/>
  <c r="AS532" i="52" s="1"/>
  <c r="AS533" i="52" s="1"/>
  <c r="AT532" i="52" s="1"/>
  <c r="AT533" i="52" s="1"/>
  <c r="AU532" i="52" s="1"/>
  <c r="AU533" i="52" s="1"/>
  <c r="AV532" i="52" s="1"/>
  <c r="AV533" i="52" s="1"/>
  <c r="AW532" i="52" s="1"/>
  <c r="AW533" i="52" s="1"/>
  <c r="AX532" i="52" s="1"/>
  <c r="AX533" i="52" s="1"/>
  <c r="AY532" i="52" s="1"/>
  <c r="AY533" i="52" s="1"/>
  <c r="AZ532" i="52" s="1"/>
  <c r="AZ533" i="52" s="1"/>
  <c r="BA532" i="52" s="1"/>
  <c r="BA533" i="52" s="1"/>
  <c r="BB532" i="52" s="1"/>
  <c r="BB533" i="52" s="1"/>
  <c r="BC532" i="52" s="1"/>
  <c r="BC533" i="52" s="1"/>
  <c r="BD532" i="52" s="1"/>
  <c r="BD533" i="52" s="1"/>
  <c r="BE532" i="52" s="1"/>
  <c r="BE533" i="52" s="1"/>
  <c r="BF532" i="52" s="1"/>
  <c r="BF533" i="52" s="1"/>
  <c r="BG532" i="52" s="1"/>
  <c r="BG533" i="52" s="1"/>
  <c r="BH532" i="52" s="1"/>
  <c r="BH533" i="52" s="1"/>
  <c r="BI532" i="52" s="1"/>
  <c r="BI533" i="52" s="1"/>
  <c r="BJ532" i="52" s="1"/>
  <c r="BJ533" i="52" s="1"/>
  <c r="BK532" i="52" s="1"/>
  <c r="BK533" i="52" s="1"/>
  <c r="BL532" i="52" s="1"/>
  <c r="BL533" i="52" s="1"/>
  <c r="BM532" i="52" s="1"/>
  <c r="BM533" i="52" s="1"/>
  <c r="BN532" i="52" s="1"/>
  <c r="BN533" i="52" s="1"/>
  <c r="BO532" i="52" s="1"/>
  <c r="BO533" i="52" s="1"/>
  <c r="BP532" i="52" s="1"/>
  <c r="BP533" i="52" s="1"/>
  <c r="BQ532" i="52" s="1"/>
  <c r="BQ533" i="52" s="1"/>
  <c r="BR532" i="52" s="1"/>
  <c r="BR533" i="52" s="1"/>
  <c r="BS532" i="52" s="1"/>
  <c r="BS533" i="52" s="1"/>
  <c r="BT532" i="52" s="1"/>
  <c r="BT533" i="52" s="1"/>
  <c r="BU532" i="52" s="1"/>
  <c r="BU533" i="52" s="1"/>
  <c r="BV532" i="52" s="1"/>
  <c r="BV533" i="52" s="1"/>
  <c r="P527" i="52" s="1"/>
  <c r="AL532" i="54"/>
  <c r="AL533" i="54" s="1"/>
  <c r="AM532" i="54" s="1"/>
  <c r="AM533" i="54" s="1"/>
  <c r="AN532" i="54" s="1"/>
  <c r="AN533" i="54" s="1"/>
  <c r="AO532" i="54" s="1"/>
  <c r="AO533" i="54" s="1"/>
  <c r="AP532" i="54" s="1"/>
  <c r="AP533" i="54" s="1"/>
  <c r="AQ532" i="54" s="1"/>
  <c r="AQ533" i="54" s="1"/>
  <c r="AR532" i="54" s="1"/>
  <c r="AR533" i="54" s="1"/>
  <c r="AS532" i="54" s="1"/>
  <c r="AS533" i="54" s="1"/>
  <c r="AT532" i="54" s="1"/>
  <c r="AT533" i="54" s="1"/>
  <c r="AU532" i="54" s="1"/>
  <c r="AU533" i="54" s="1"/>
  <c r="AV532" i="54" s="1"/>
  <c r="AV533" i="54" s="1"/>
  <c r="AW532" i="54" s="1"/>
  <c r="AW533" i="54" s="1"/>
  <c r="AX532" i="54" s="1"/>
  <c r="AX533" i="54" s="1"/>
  <c r="AY532" i="54" s="1"/>
  <c r="AY533" i="54" s="1"/>
  <c r="AZ532" i="54" s="1"/>
  <c r="AZ533" i="54" s="1"/>
  <c r="BA532" i="54" s="1"/>
  <c r="BA533" i="54" s="1"/>
  <c r="BB532" i="54" s="1"/>
  <c r="BB533" i="54" s="1"/>
  <c r="BC532" i="54" s="1"/>
  <c r="BC533" i="54" s="1"/>
  <c r="BD532" i="54" s="1"/>
  <c r="BD533" i="54" s="1"/>
  <c r="BE532" i="54" s="1"/>
  <c r="BE533" i="54" s="1"/>
  <c r="BF532" i="54" s="1"/>
  <c r="BF533" i="54" s="1"/>
  <c r="BG532" i="54" s="1"/>
  <c r="BG533" i="54" s="1"/>
  <c r="BH532" i="54" s="1"/>
  <c r="BH533" i="54" s="1"/>
  <c r="BI532" i="54" s="1"/>
  <c r="BI533" i="54" s="1"/>
  <c r="BJ532" i="54" s="1"/>
  <c r="BJ533" i="54" s="1"/>
  <c r="BK532" i="54" s="1"/>
  <c r="BK533" i="54" s="1"/>
  <c r="BL532" i="54" s="1"/>
  <c r="BL533" i="54" s="1"/>
  <c r="BM532" i="54" s="1"/>
  <c r="BM533" i="54" s="1"/>
  <c r="BN532" i="54" s="1"/>
  <c r="BN533" i="54" s="1"/>
  <c r="BO532" i="54" s="1"/>
  <c r="BO533" i="54" s="1"/>
  <c r="BP532" i="54" s="1"/>
  <c r="BP533" i="54" s="1"/>
  <c r="BQ532" i="54" s="1"/>
  <c r="BQ533" i="54" s="1"/>
  <c r="BR532" i="54" s="1"/>
  <c r="BR533" i="54" s="1"/>
  <c r="BS532" i="54" s="1"/>
  <c r="BS533" i="54" s="1"/>
  <c r="BT532" i="54" s="1"/>
  <c r="BT533" i="54" s="1"/>
  <c r="BU532" i="54" s="1"/>
  <c r="BU533" i="54" s="1"/>
  <c r="L13" i="46" l="1"/>
  <c r="H10" i="47"/>
  <c r="H499" i="48"/>
  <c r="R499" i="48"/>
  <c r="C27" i="60" s="1"/>
  <c r="S485" i="48"/>
  <c r="T485" i="48" s="1"/>
  <c r="J485" i="48" s="1"/>
  <c r="C25" i="39" s="1"/>
  <c r="S25" i="39" s="1"/>
  <c r="J484" i="48"/>
  <c r="C26" i="39" s="1"/>
  <c r="S26" i="39" s="1"/>
  <c r="BV532" i="54"/>
  <c r="BV533" i="54" s="1"/>
  <c r="P527" i="54" s="1"/>
  <c r="G10" i="47" l="1"/>
  <c r="I22" i="46"/>
  <c r="I23" i="46" s="1"/>
  <c r="I24" i="46" s="1"/>
  <c r="B5" i="47" s="1"/>
  <c r="B6" i="47" s="1"/>
  <c r="I25" i="46" s="1"/>
  <c r="L22" i="46"/>
  <c r="L23" i="46" s="1"/>
  <c r="L24" i="46" s="1"/>
  <c r="C5" i="47" s="1"/>
  <c r="C6" i="47" s="1"/>
  <c r="L25" i="46" s="1"/>
  <c r="F13" i="46"/>
  <c r="Q54" i="60"/>
  <c r="Q64" i="60" s="1"/>
  <c r="Q65" i="60" s="1"/>
  <c r="Q67" i="60" s="1"/>
  <c r="Q68" i="60" s="1"/>
  <c r="N27" i="60"/>
  <c r="K27" i="60"/>
  <c r="O494" i="50"/>
  <c r="O496" i="50"/>
  <c r="R496" i="50" s="1"/>
  <c r="C25" i="60" s="1"/>
  <c r="O497" i="50"/>
  <c r="R497" i="50" s="1"/>
  <c r="C26" i="60" s="1"/>
  <c r="O495" i="50"/>
  <c r="R495" i="50" s="1"/>
  <c r="C24" i="60" s="1"/>
  <c r="O493" i="50"/>
  <c r="R493" i="50" s="1"/>
  <c r="C22" i="60" s="1"/>
  <c r="C621" i="54"/>
  <c r="F22" i="46" l="1"/>
  <c r="F23" i="46" s="1"/>
  <c r="F24" i="46" s="1"/>
  <c r="C2" i="47" s="1"/>
  <c r="C3" i="47" s="1"/>
  <c r="F25" i="46" s="1"/>
  <c r="S31" i="46" s="1"/>
  <c r="C22" i="46"/>
  <c r="C23" i="46" s="1"/>
  <c r="C24" i="46" s="1"/>
  <c r="B2" i="47" s="1"/>
  <c r="B3" i="47" s="1"/>
  <c r="C25" i="46" s="1"/>
  <c r="S30" i="46" s="1"/>
  <c r="B66" i="60"/>
  <c r="C70" i="60"/>
  <c r="K70" i="60" s="1"/>
  <c r="C621" i="52"/>
  <c r="Q27" i="60"/>
  <c r="N22" i="60"/>
  <c r="K22" i="60"/>
  <c r="K25" i="60"/>
  <c r="N25" i="60"/>
  <c r="O499" i="50"/>
  <c r="O498" i="50"/>
  <c r="N24" i="60"/>
  <c r="K24" i="60"/>
  <c r="N26" i="60"/>
  <c r="K26" i="60"/>
  <c r="AT97" i="55"/>
  <c r="AU97" i="55" s="1"/>
  <c r="AV97" i="55" s="1"/>
  <c r="E608" i="54" s="1"/>
  <c r="C635" i="54"/>
  <c r="H635" i="54" s="1"/>
  <c r="M621" i="54"/>
  <c r="S621" i="54"/>
  <c r="T621" i="54" s="1"/>
  <c r="C30" i="46" l="1"/>
  <c r="J30" i="46" s="1"/>
  <c r="C44" i="46"/>
  <c r="I48" i="46"/>
  <c r="C31" i="46"/>
  <c r="J31" i="46" s="1"/>
  <c r="C45" i="46"/>
  <c r="R608" i="54"/>
  <c r="BD97" i="55"/>
  <c r="BE97" i="55" s="1"/>
  <c r="BF97" i="55" s="1"/>
  <c r="E608" i="52" s="1"/>
  <c r="R608" i="52" s="1"/>
  <c r="I35" i="46"/>
  <c r="G72" i="60"/>
  <c r="N72" i="60" s="1"/>
  <c r="G73" i="60"/>
  <c r="N73" i="60" s="1"/>
  <c r="G74" i="60"/>
  <c r="N74" i="60" s="1"/>
  <c r="C635" i="52"/>
  <c r="H635" i="52" s="1"/>
  <c r="Q25" i="60"/>
  <c r="Q24" i="60"/>
  <c r="Q26" i="60"/>
  <c r="Q22" i="60"/>
  <c r="M621" i="52"/>
  <c r="S621" i="52"/>
  <c r="T621" i="52" s="1"/>
  <c r="C35" i="60" l="1"/>
  <c r="J45" i="46"/>
  <c r="P45" i="46" s="1"/>
  <c r="C34" i="60"/>
  <c r="J44" i="46"/>
  <c r="P44" i="46" s="1"/>
  <c r="P46" i="46" s="1"/>
  <c r="U31" i="46"/>
  <c r="V31" i="46" s="1"/>
  <c r="I49" i="46"/>
  <c r="P48" i="46"/>
  <c r="B32" i="46"/>
  <c r="P35" i="46"/>
  <c r="I36" i="46"/>
  <c r="U30" i="46"/>
  <c r="V30" i="46" s="1"/>
  <c r="Q75" i="60"/>
  <c r="S601" i="54"/>
  <c r="S602" i="54"/>
  <c r="S607" i="54"/>
  <c r="S598" i="54"/>
  <c r="S603" i="54"/>
  <c r="S596" i="54"/>
  <c r="S608" i="54"/>
  <c r="S606" i="54"/>
  <c r="S595" i="54"/>
  <c r="S597" i="54"/>
  <c r="S599" i="54"/>
  <c r="S600" i="54"/>
  <c r="S604" i="54"/>
  <c r="S605" i="54"/>
  <c r="S597" i="52"/>
  <c r="S605" i="52"/>
  <c r="S604" i="52"/>
  <c r="S607" i="52"/>
  <c r="S596" i="52"/>
  <c r="S598" i="52"/>
  <c r="S595" i="52"/>
  <c r="S602" i="52"/>
  <c r="S600" i="52"/>
  <c r="S601" i="52"/>
  <c r="S608" i="52"/>
  <c r="S606" i="52"/>
  <c r="S603" i="52"/>
  <c r="S599" i="52"/>
  <c r="P49" i="46" l="1"/>
  <c r="I50" i="46" s="1"/>
  <c r="W30" i="46"/>
  <c r="X30" i="46" s="1"/>
  <c r="J32" i="46" s="1"/>
  <c r="P32" i="46" s="1"/>
  <c r="P50" i="46"/>
  <c r="C52" i="46" s="1"/>
  <c r="J52" i="46" s="1"/>
  <c r="P52" i="46" s="1"/>
  <c r="P53" i="46" s="1"/>
  <c r="B53" i="46" s="1"/>
  <c r="S50" i="46" s="1"/>
  <c r="T34" i="60" s="1"/>
  <c r="K34" i="60"/>
  <c r="N34" i="60"/>
  <c r="K35" i="60"/>
  <c r="N35" i="60"/>
  <c r="P36" i="46"/>
  <c r="I37" i="46" s="1"/>
  <c r="T595" i="54"/>
  <c r="U595" i="54" s="1"/>
  <c r="T596" i="54" s="1"/>
  <c r="U596" i="54" s="1"/>
  <c r="T597" i="54" s="1"/>
  <c r="U597" i="54" s="1"/>
  <c r="T598" i="54" s="1"/>
  <c r="U598" i="54" s="1"/>
  <c r="T599" i="54" s="1"/>
  <c r="U599" i="54" s="1"/>
  <c r="T600" i="54" s="1"/>
  <c r="U600" i="54" s="1"/>
  <c r="T601" i="54" s="1"/>
  <c r="U601" i="54" s="1"/>
  <c r="T602" i="54" s="1"/>
  <c r="U602" i="54" s="1"/>
  <c r="T603" i="54" s="1"/>
  <c r="U603" i="54" s="1"/>
  <c r="T604" i="54" s="1"/>
  <c r="U604" i="54" s="1"/>
  <c r="T605" i="54" s="1"/>
  <c r="U605" i="54" s="1"/>
  <c r="T606" i="54" s="1"/>
  <c r="U606" i="54" s="1"/>
  <c r="T607" i="54" s="1"/>
  <c r="U607" i="54" s="1"/>
  <c r="T595" i="52"/>
  <c r="U595" i="52" s="1"/>
  <c r="T596" i="52" s="1"/>
  <c r="U596" i="52" s="1"/>
  <c r="T597" i="52" s="1"/>
  <c r="U597" i="52" s="1"/>
  <c r="T598" i="52" s="1"/>
  <c r="U598" i="52" s="1"/>
  <c r="T599" i="52" s="1"/>
  <c r="U599" i="52" s="1"/>
  <c r="T600" i="52" s="1"/>
  <c r="U600" i="52" s="1"/>
  <c r="T601" i="52" s="1"/>
  <c r="U601" i="52" s="1"/>
  <c r="T602" i="52" s="1"/>
  <c r="U602" i="52" s="1"/>
  <c r="T603" i="52" s="1"/>
  <c r="U603" i="52" s="1"/>
  <c r="T604" i="52" s="1"/>
  <c r="U604" i="52" s="1"/>
  <c r="T605" i="52" s="1"/>
  <c r="U605" i="52" s="1"/>
  <c r="T606" i="52" s="1"/>
  <c r="U606" i="52" s="1"/>
  <c r="T607" i="52" s="1"/>
  <c r="U607" i="52" s="1"/>
  <c r="P594" i="52" s="1"/>
  <c r="C636" i="52" s="1"/>
  <c r="O635" i="52" s="1"/>
  <c r="R635" i="52" s="1"/>
  <c r="C14" i="60" s="1"/>
  <c r="C36" i="60" l="1"/>
  <c r="Q35" i="60"/>
  <c r="Q34" i="60"/>
  <c r="P594" i="54"/>
  <c r="C636" i="54" s="1"/>
  <c r="O635" i="54" s="1"/>
  <c r="R635" i="54" s="1"/>
  <c r="C7" i="60" s="1"/>
  <c r="P37" i="46"/>
  <c r="I38" i="46" s="1"/>
  <c r="P38" i="46" s="1"/>
  <c r="I39" i="46" s="1"/>
  <c r="P39" i="46" s="1"/>
  <c r="C622" i="52"/>
  <c r="S622" i="52" s="1"/>
  <c r="T622" i="52" s="1"/>
  <c r="I622" i="52" s="1"/>
  <c r="C11" i="39" s="1"/>
  <c r="S11" i="39" s="1"/>
  <c r="N14" i="60"/>
  <c r="K14" i="60"/>
  <c r="H636" i="52"/>
  <c r="O636" i="52" s="1"/>
  <c r="R636" i="52"/>
  <c r="C13" i="60" s="1"/>
  <c r="N36" i="60" l="1"/>
  <c r="K36" i="60"/>
  <c r="I621" i="52"/>
  <c r="C12" i="39" s="1"/>
  <c r="S12" i="39" s="1"/>
  <c r="S34" i="46"/>
  <c r="C32" i="39" s="1"/>
  <c r="S32" i="39" s="1"/>
  <c r="S35" i="46"/>
  <c r="R35" i="46" s="1"/>
  <c r="R32" i="39" s="1"/>
  <c r="S38" i="46"/>
  <c r="B40" i="46" s="1"/>
  <c r="P40" i="46"/>
  <c r="Q14" i="60"/>
  <c r="C622" i="54"/>
  <c r="S622" i="54" s="1"/>
  <c r="T622" i="54" s="1"/>
  <c r="I622" i="54" s="1"/>
  <c r="C4" i="39" s="1"/>
  <c r="S4" i="39" s="1"/>
  <c r="K13" i="60"/>
  <c r="N13" i="60"/>
  <c r="K7" i="60"/>
  <c r="N7" i="60"/>
  <c r="H636" i="54"/>
  <c r="O636" i="54" s="1"/>
  <c r="R636" i="54" s="1"/>
  <c r="C6" i="60" s="1"/>
  <c r="Q36" i="60" l="1"/>
  <c r="R31" i="39"/>
  <c r="B32" i="39" s="1"/>
  <c r="I621" i="54"/>
  <c r="C5" i="39" s="1"/>
  <c r="S5" i="39" s="1"/>
  <c r="Q13" i="60"/>
  <c r="Q7" i="60"/>
  <c r="N6" i="60"/>
  <c r="K6" i="60"/>
  <c r="Q6" i="60" l="1"/>
  <c r="Z58" i="50" l="1"/>
  <c r="Z59" i="50" l="1"/>
  <c r="Z57" i="50"/>
  <c r="AA57" i="50" s="1"/>
  <c r="AB57" i="50" s="1"/>
  <c r="AA58" i="50" l="1"/>
  <c r="AB58" i="50" s="1"/>
  <c r="AA53" i="50" s="1"/>
  <c r="P59" i="50" s="1"/>
  <c r="E74" i="50" l="1"/>
  <c r="S74" i="50" s="1"/>
  <c r="L77" i="50"/>
  <c r="T74" i="50" l="1"/>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4" i="50" l="1"/>
  <c r="C480" i="50"/>
  <c r="S480" i="50" l="1"/>
  <c r="T480" i="50" s="1"/>
  <c r="N480" i="50"/>
  <c r="R494" i="50"/>
  <c r="C23" i="60" s="1"/>
  <c r="H494" i="50"/>
  <c r="N481" i="50"/>
  <c r="N483" i="50"/>
  <c r="N482" i="50"/>
  <c r="N23" i="60" l="1"/>
  <c r="K23" i="60"/>
  <c r="Q23" i="60" l="1"/>
  <c r="P234" i="50" l="1"/>
  <c r="E353" i="50" s="1"/>
  <c r="S353" i="50" l="1"/>
  <c r="R270" i="50"/>
  <c r="W342" i="50"/>
  <c r="W348" i="50" s="1"/>
  <c r="L362" i="50" s="1"/>
  <c r="C271" i="50" l="1"/>
  <c r="AH49" i="51" s="1"/>
  <c r="AI49" i="51" s="1"/>
  <c r="AJ49" i="51" s="1"/>
  <c r="L271" i="50" s="1"/>
  <c r="C273" i="50"/>
  <c r="AH51" i="51" s="1"/>
  <c r="AI51" i="51" s="1"/>
  <c r="AJ51" i="51" s="1"/>
  <c r="L273" i="50" s="1"/>
  <c r="C272" i="50"/>
  <c r="AH50" i="51" s="1"/>
  <c r="AI50" i="51" s="1"/>
  <c r="AJ50" i="51" s="1"/>
  <c r="L272" i="50" s="1"/>
  <c r="C274" i="50"/>
  <c r="AH52" i="51" s="1"/>
  <c r="AI52" i="51" s="1"/>
  <c r="AJ52" i="51" s="1"/>
  <c r="L274" i="50" s="1"/>
  <c r="C270" i="50"/>
  <c r="AH48" i="51" s="1"/>
  <c r="AI48" i="51" s="1"/>
  <c r="AJ48" i="51" s="1"/>
  <c r="L270" i="50" s="1"/>
  <c r="P270" i="50" l="1"/>
  <c r="J483" i="50" l="1"/>
  <c r="C24" i="39" s="1"/>
  <c r="S24" i="39" s="1"/>
  <c r="N479" i="50"/>
  <c r="J479" i="50"/>
  <c r="C20" i="39" s="1"/>
  <c r="S20" i="39" s="1"/>
  <c r="J482" i="50"/>
  <c r="C23" i="39" s="1"/>
  <c r="S23" i="39" s="1"/>
  <c r="J480" i="50"/>
  <c r="C21" i="39" s="1"/>
  <c r="S21" i="39" s="1"/>
  <c r="J481" i="50"/>
  <c r="C22" i="39" s="1"/>
  <c r="S22" i="39" s="1"/>
  <c r="E367" i="50"/>
  <c r="U479" i="50" s="1"/>
  <c r="S367" i="50" l="1"/>
  <c r="T367" i="50"/>
  <c r="T347" i="50"/>
  <c r="T357" i="50"/>
  <c r="T364" i="50"/>
  <c r="T346" i="50"/>
  <c r="T365" i="50"/>
  <c r="T358" i="50"/>
  <c r="T363" i="50"/>
  <c r="T352" i="50"/>
  <c r="T361" i="50"/>
  <c r="T355" i="50"/>
  <c r="T354" i="50"/>
  <c r="T359" i="50"/>
  <c r="T343" i="50"/>
  <c r="T342" i="50"/>
  <c r="T353" i="50"/>
  <c r="T366" i="50"/>
  <c r="T348" i="50"/>
  <c r="T351" i="50"/>
  <c r="T360" i="50"/>
  <c r="T345" i="50"/>
  <c r="T350" i="50"/>
  <c r="T349" i="50"/>
  <c r="T356" i="50"/>
  <c r="T362" i="50"/>
  <c r="T344" i="50"/>
  <c r="U342" i="50" l="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U366" i="50" s="1"/>
  <c r="V366" i="50" s="1"/>
  <c r="P341" i="50" s="1"/>
  <c r="C446" i="50" s="1"/>
  <c r="AH68" i="51" s="1"/>
  <c r="AI68" i="51" s="1"/>
  <c r="AJ68" i="51" s="1"/>
  <c r="L446" i="50" s="1"/>
  <c r="P446" i="50" s="1"/>
  <c r="E471" i="50" s="1"/>
  <c r="U480" i="50" l="1"/>
  <c r="U481" i="50" s="1"/>
  <c r="S471" i="50"/>
  <c r="C498" i="50"/>
  <c r="C484" i="50"/>
  <c r="T451" i="50" l="1"/>
  <c r="T461" i="50"/>
  <c r="T452" i="50"/>
  <c r="T467" i="50"/>
  <c r="T460" i="50"/>
  <c r="T455" i="50"/>
  <c r="T457" i="50"/>
  <c r="T453" i="50"/>
  <c r="T459" i="50"/>
  <c r="T462" i="50"/>
  <c r="T465" i="50"/>
  <c r="T456" i="50"/>
  <c r="T454" i="50"/>
  <c r="T449" i="50"/>
  <c r="T463" i="50"/>
  <c r="T471" i="50"/>
  <c r="T450" i="50"/>
  <c r="T464" i="50"/>
  <c r="T470" i="50"/>
  <c r="T458" i="50"/>
  <c r="T468" i="50"/>
  <c r="T469" i="50"/>
  <c r="T466" i="50"/>
  <c r="S484" i="50"/>
  <c r="T484" i="50" s="1"/>
  <c r="N484" i="50"/>
  <c r="R498" i="50"/>
  <c r="C21" i="60" s="1"/>
  <c r="H498" i="50"/>
  <c r="U449" i="50" l="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U470" i="50" s="1"/>
  <c r="V470" i="50" s="1"/>
  <c r="K21" i="60"/>
  <c r="N21" i="60"/>
  <c r="P448" i="50" l="1"/>
  <c r="R491" i="50"/>
  <c r="Q21" i="60"/>
  <c r="C485" i="50" l="1"/>
  <c r="C499" i="50"/>
  <c r="H499" i="50" l="1"/>
  <c r="R499" i="50"/>
  <c r="C20" i="60" s="1"/>
  <c r="S485" i="50"/>
  <c r="T485" i="50" s="1"/>
  <c r="J485" i="50" s="1"/>
  <c r="C18" i="39" s="1"/>
  <c r="S18" i="39" s="1"/>
  <c r="J484"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B5893C4A-CF21-46F0-9458-A14DC9E9DE3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6119C562-3D56-4C86-829F-3EECECB2F62E}">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926D05C8-4FD6-4F6D-A8DC-959BF184054E}">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ED95EA63-7276-4908-8F7C-71BA7D39FED5}">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A6A0CF2C-1FC5-44E0-8496-12D1BAB25302}">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76BC8D87-E4A9-49C5-8747-623B27C3A3B0}">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9" authorId="1" shapeId="0" xr:uid="{BC9BB65C-A441-44B4-9128-03E7FDCD29EA}">
      <text>
        <r>
          <rPr>
            <b/>
            <sz val="9"/>
            <color indexed="81"/>
            <rFont val="Tahoma"/>
            <family val="2"/>
          </rPr>
          <t>Bruyns Fred H:</t>
        </r>
        <r>
          <rPr>
            <sz val="9"/>
            <color indexed="81"/>
            <rFont val="Tahoma"/>
            <family val="2"/>
          </rPr>
          <t xml:space="preserve">
Programming note: Values are transferred in from the chart to the left. </t>
        </r>
      </text>
    </comment>
    <comment ref="R40" authorId="1" shapeId="0" xr:uid="{8FC76CE7-133D-47F9-B0B4-7B51D6583E29}">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41" authorId="1" shapeId="0" xr:uid="{4D35C56F-78A5-427C-898F-D8193ACC0A2D}">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42" authorId="1" shapeId="0" xr:uid="{95679371-58AB-4DE3-A789-2BFE5406270E}">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T49"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0"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87" authorId="1" shapeId="0" xr:uid="{4CEC86B5-E584-47A8-91B6-69D4E2F7EA46}">
      <text>
        <r>
          <rPr>
            <b/>
            <sz val="9"/>
            <color indexed="81"/>
            <rFont val="Tahoma"/>
            <family val="2"/>
          </rPr>
          <t>Bruyns Fred H:</t>
        </r>
        <r>
          <rPr>
            <sz val="9"/>
            <color indexed="81"/>
            <rFont val="Tahoma"/>
            <family val="2"/>
          </rPr>
          <t xml:space="preserve">
Programming note: Values are transferred in from the chart to the left. </t>
        </r>
      </text>
    </comment>
    <comment ref="R88" authorId="1" shapeId="0" xr:uid="{0A878D38-3A74-4327-A670-9BAA22D4C1E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89" authorId="1" shapeId="0" xr:uid="{BA4931A5-C73C-49F2-8A22-B6A8273D05DA}">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90" authorId="1" shapeId="0" xr:uid="{09B98B4D-9808-47E8-82CC-5E68756CA085}">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32" authorId="1" shapeId="0" xr:uid="{0F6FECBB-9ED6-4B33-8CB0-EE6D6D50F4D9}">
      <text>
        <r>
          <rPr>
            <b/>
            <sz val="9"/>
            <color indexed="81"/>
            <rFont val="Tahoma"/>
            <family val="2"/>
          </rPr>
          <t>Bruyns Fred H:</t>
        </r>
        <r>
          <rPr>
            <sz val="9"/>
            <color indexed="81"/>
            <rFont val="Tahoma"/>
            <family val="2"/>
          </rPr>
          <t xml:space="preserve">
Programming note: Values are transferred in from the chart to the left. </t>
        </r>
      </text>
    </comment>
    <comment ref="R133" authorId="1" shapeId="0" xr:uid="{07D7F1FD-BC71-48EE-9FD9-F8779ADBCCA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134" authorId="1" shapeId="0" xr:uid="{99FDFE07-A4F8-4643-AF9E-BD382BBD5572}">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135" authorId="1" shapeId="0" xr:uid="{5CCD416C-B3B8-4025-8EE9-B86C1C7F7410}">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44"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44"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44"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5"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5"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5"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T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3FA4671E-2A00-4BC8-BC9C-9BA6B863400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B744197A-8FB5-41E6-951B-C54CE9ED49E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D5BE6FAF-F35D-421B-A5FA-1950A1753D3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97BE1A09-1126-4B96-8C38-4FF6B4F5BD1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A208B642-17FD-4FA0-B282-0E26A7F7995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31695FB6-1DF4-4595-B2D5-EDA798BA382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5D73C0EC-58AF-4A9C-B008-B1050EA879D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0944BB3C-1C20-4BD6-B6A1-42C9CA6C594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004F3BBE-CEBD-4867-BA63-CFC2052060C1}">
      <text>
        <r>
          <rPr>
            <b/>
            <sz val="9"/>
            <color indexed="81"/>
            <rFont val="Tahoma"/>
            <family val="2"/>
          </rPr>
          <t>Bruyns Fred H:</t>
        </r>
        <r>
          <rPr>
            <sz val="9"/>
            <color indexed="81"/>
            <rFont val="Tahoma"/>
            <family val="2"/>
          </rPr>
          <t xml:space="preserve">
Programming note: Formula returns "1" if any of the joints are ankylosed.</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C4BBC608-BC63-4DD8-87B7-B3A520B0D160}">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FE760279-5863-40D6-8EF8-78E3A91D9D66}">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2B2693E6-DD44-4152-9094-CA5FF98A455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55239553-1CB4-4BCE-94DC-38A05FF9E675}">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93D6FBC5-A00A-4F35-9602-79A987DF065A}">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2F697F79-79D1-47A7-A531-046BED9E9B5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DBAC1E93-295F-4FB9-8DC8-A7AD5235BE26}">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5D603DC3-22ED-4043-9EE2-A2F91D4C88A9}">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F715EE26-0AC2-457A-9F16-74841387B1C8}">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9BE8ED58-D22E-43B2-B121-D27B5F0AE30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E7369D08-043E-412F-96EC-1EEC5CB390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4329CB7B-F1CA-4A66-8CA0-C20F6915364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026E198E-3370-419D-B390-D5361C05C5DC}">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74866C28-DB81-4BD4-860E-672BEC9573C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DCBD46FE-BEA2-4ACC-A235-080E25436B0C}">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6614EABC-6CF5-4D9B-ABF1-561805B20745}">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84DB544B-4F49-4BA9-8397-922438320D31}">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EB4220ED-C276-4FB6-8823-823FB37D254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054C3DBF-84C1-47A0-9BD2-C95EFA22E0A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F36E9B02-4A0B-467C-B4AA-5D640E2886D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35D2C125-BF14-47B7-8CEA-D54395849DA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E6ABD8FF-AF95-4DAE-9260-6B4B7E9CD657}">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2872D1B4-E2E8-4C4C-85F0-7A5EDB0FB968}">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70073DDD-B3E4-4E2F-A834-1D51499E8744}">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84932266-2E91-430C-B06D-4B3C29298C87}">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F944FD8B-89A1-433E-A4B6-BCFCAB5CF4CE}">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5"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46"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47"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48"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4"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4"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4"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4"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4"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17"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3"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3"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4"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AK531" authorId="1" shapeId="0" xr:uid="{B5A88FD7-D0AA-4D0B-8D60-034E0A81AEB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K532" authorId="1" shapeId="0" xr:uid="{F5827F02-EDF4-47DF-8E03-2DD58EEC2B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K533" authorId="1" shapeId="0" xr:uid="{7999E2DA-D9EC-4D32-AE11-20284A4E68A9}">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the hand.</t>
        </r>
      </text>
    </comment>
    <comment ref="E534"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58095C29-B3CB-4E2F-8D35-81183105AF94}">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D38DEA70-4C72-418B-A457-F3629D5373AB}">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8DA5CD27-9B6A-45B1-8363-8AC3443AC33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Y535" authorId="1" shapeId="0" xr:uid="{72C67753-205F-4059-BC0A-AB72EB11EA71}">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DC2EAB01-E00E-4767-90EE-0335749304C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58"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62"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594"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B3C1EB38-206A-4639-A52C-C395D1911363}">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7053CD6E-5F4D-4B41-B8E6-AE287117485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4D625FE2-A047-4331-AA28-FD21C74D8FBD}">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E2FF8DCC-BE79-4E14-990A-CD5E73A0558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319FFE68-71C4-46F3-8FBB-E261B3E37ED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2AA3D21B-028A-47F4-A5F6-DB87AF5692E4}">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54A6405C-C850-4EEE-A2F4-7157DA857CFE}">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91" authorId="1" shapeId="0" xr:uid="{C389CF55-DC5C-47BF-9369-D2A83D25E416}">
      <text>
        <r>
          <rPr>
            <b/>
            <sz val="9"/>
            <color indexed="81"/>
            <rFont val="Tahoma"/>
            <family val="2"/>
          </rPr>
          <t>Bruyns Fred H:</t>
        </r>
        <r>
          <rPr>
            <sz val="9"/>
            <color indexed="81"/>
            <rFont val="Tahoma"/>
            <family val="2"/>
          </rPr>
          <t xml:space="preserve">
Programming note: Formula returns "1" if any of the joints are ankylosed.</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45B31597-E0BD-49D5-91A8-46421B1D2A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5418411E-5971-4DA8-8448-B1F3F352685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F8F63A7E-ADE6-4018-A571-1A1AAC028C3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8AFBDC0B-E77B-4557-AE4A-15AB5641280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D69EA451-4321-41EF-B278-DDCD5DDF865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95" authorId="1" shapeId="0" xr:uid="{0D49315A-9E66-4120-AA9C-9FCF8C229F05}">
      <text>
        <r>
          <rPr>
            <b/>
            <sz val="9"/>
            <color indexed="81"/>
            <rFont val="Tahoma"/>
            <family val="2"/>
          </rPr>
          <t>Bruyns Fred H:</t>
        </r>
        <r>
          <rPr>
            <sz val="9"/>
            <color indexed="81"/>
            <rFont val="Tahoma"/>
            <family val="2"/>
          </rPr>
          <t xml:space="preserve">
Programming note: Formula counts ankylosed joints in the digit.</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96" authorId="1" shapeId="0" xr:uid="{3DBA32AF-7F86-4892-8CCE-6C3E2E16FAF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0832A403-829B-457B-9AE6-C0C18AF0F2EF}">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21412356-6DE8-4769-8261-550C44B9A69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7F45B057-8960-437B-9E99-1EF8643F267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BCC7181E-43F9-430C-AFD3-4B0E930C355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7EFDFE92-BCD9-4A73-93B0-EEFC9A734C9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B1001C99-B080-49DB-9037-93E4FDE2702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C3950419-4184-4E24-B2A9-8F1C3A33E8DE}">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33E4FF5A-A65C-4002-A20A-F30524E0173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74AC0D4D-818D-4E2E-9ED9-AC302D0F85E3}">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50E6B40E-D13D-4BCD-9355-E2BA8C68B40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5E45F434-99B7-47BC-9259-983F178AAC5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5C8ECF13-6A2D-4887-8CF5-27D7CBAD5D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A52D575B-1D60-44C4-9012-E2BF5F6E2147}">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53EC4DA7-890A-45C3-B418-A484A716A465}">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31EA65E3-5B3E-4942-8438-5BD2F5DE8629}">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0BB72674-6867-4ED9-9F09-3E46BBE0571F}">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34D97F9B-FB3E-46A1-B22E-08F117BD7BFA}">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72B3E138-E422-4991-9677-4ECB973C096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9C60EF39-D56C-4744-85E2-97F3B092D58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61ED1FB1-8947-4892-8FC7-89643DAC175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DA246A58-B877-45B0-9871-3F7CFCBE557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B5FCF885-0EF0-4AB0-A475-C6ECE195BB2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195C2221-58C9-49AB-9E0E-0F1C2252D499}">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CB2961A7-977D-4B8C-92A3-E3519E47BF51}">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2BC031A4-A9CE-417E-822F-A82ACF31309B}">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B44EC05A-A5F7-4B18-ACF6-182763612012}">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5"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46"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47"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48"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17"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3"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3"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4"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E534"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2AC6D34F-0AA7-4E7E-88E0-952BE58596AC}">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736AB982-2146-46DC-859E-9FFDE1BC85D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1934332B-55B5-44FB-9B52-7052CBE2399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5" authorId="1" shapeId="0" xr:uid="{55366041-E601-4294-B47D-B4A03A04693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5" authorId="1" shapeId="0" xr:uid="{25D78C21-39FF-4655-8F02-B1BF1F62D537}">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230D5789-21F1-45E6-B7DC-C154A2E0AA8C}">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62"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94"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E5E7C50E-EED7-4756-A4CD-006C60271B99}">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C933B86D-C187-4BBA-93CF-C44D0B63478A}">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E02B739B-44FD-4907-8DC1-DCDAE03F8EC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36AEE959-9F7E-4041-A6A9-2057A696A9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26C6E12D-1F74-4B12-BFAD-11E9DC01DD69}">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84738C19-68AA-405A-BB74-0213179E629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5F4314C0-B6B4-4FCD-9B87-352083AD0E84}">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45925FD-AE7E-4846-BEAA-DC5AC85253C8}">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7617D033-D4A7-46CB-9376-FE9B3658A74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D3DC7AD2-EC93-474A-85FA-D6F970F7BF7B}">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7B78EB3-A78B-4DD9-99D3-2B9C9CD26449}">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3EB85DFC-5F61-4AC5-B5DB-7480CB77665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932A363D-87BF-4887-A3B4-C7DB2A4B66A5}">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BE8B8ABB-135D-437B-B2B3-F199C5A59A64}">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9AA8DE8D-D46F-4F62-AB3D-EF179EA4C28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ECB4FDF6-BB33-44ED-A254-EF5AD39BA3A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856AF409-2525-40CA-8903-91A66355EDFB}">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F3DD7D91-F94C-4F82-8AA9-67E7970589C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FE74D6F9-6FAE-4938-B856-673A4A3953C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0F1468E6-258D-497A-90D1-6BE6E7FA7472}">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162B20F1-025A-4FE3-AA4E-9551367E9D8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13B1BC3-8023-4020-B185-03B8AB818D54}">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4B184737-6D39-4273-A8DC-927AB99F990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9ABA4DC0-0713-4C8A-9DBF-6B16555A7A64}">
      <text>
        <r>
          <rPr>
            <b/>
            <sz val="9"/>
            <color indexed="81"/>
            <rFont val="Tahoma"/>
            <family val="2"/>
          </rPr>
          <t>Bruyns Fred H:</t>
        </r>
        <r>
          <rPr>
            <sz val="9"/>
            <color indexed="81"/>
            <rFont val="Tahoma"/>
            <family val="2"/>
          </rPr>
          <t xml:space="preserve">
Programming note: Sum of foot and ankle ROM impairment</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8E6660C3-A0DE-4B85-BFCA-CD818A7C1A4D}">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80"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80"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8"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3"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4"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6"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4"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6"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3"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8"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D54187CC-F9EB-4525-B7BA-3B27546A7BF7}">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2965F0BA-CC5F-4581-A5B0-EB12FEA3D0F6}">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AF4247AF-3FE4-4942-89AD-E27DB49C5166}">
      <text>
        <r>
          <rPr>
            <b/>
            <sz val="9"/>
            <color indexed="81"/>
            <rFont val="Tahoma"/>
            <family val="2"/>
          </rPr>
          <t>Bruyns Fred H:</t>
        </r>
        <r>
          <rPr>
            <sz val="9"/>
            <color indexed="81"/>
            <rFont val="Tahoma"/>
            <family val="2"/>
          </rPr>
          <t xml:space="preserve">
Programming note: The formula returns zero if there ankylosis in the leg. Otherwise, the formula returns the product of the ROM value times the apportionment percentage, if any. </t>
        </r>
      </text>
    </comment>
    <comment ref="E451"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1CA7E6D7-CCA9-427B-AF0D-20E41CDE83D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1041DF72-65BE-49C2-8FE0-54BD1DE328D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BF309E5D-BC81-43B6-8DFB-6AD7653593F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73A5EF4A-B7EB-4DB1-AB95-35163292C76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7987C32-AC3A-46E6-93E3-6232044F40C0}">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E2E35E60-6115-4928-AF0B-20959AE7FB2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A71B0565-DFA0-4507-A8AE-B199C26CB74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8972742-0EF0-4B92-A1BD-6ACD996BF935}">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0A38EAF8-AC47-40C2-B59C-57CEF1CFEC4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036CD5B6-4496-4691-99BE-6D402C40BD0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FCF2DFAF-ADC8-4432-9252-E5CF570698B1}">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B6BDEBE5-F990-424C-9E9F-0CD79F5EA40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5E6E11C0-2C01-476D-AAC0-F3BA7E4F06E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ED943456-0195-4092-8A54-677A73C8F5DD}">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8C42631D-571E-4F5E-B74E-311D9401FBE0}">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B1D94736-A01C-42D2-9C44-3EE425AE3D8F}">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F95C9F40-CC36-4800-8B7A-55BE883A3265}">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011622FF-48F8-4CAD-9647-125582EEA2C8}">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D39438D-8850-421D-8EF0-866ACF7943C3}">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B0ACFFEF-19DE-4C97-B96E-E66F48030930}">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ED6631CE-18B0-40D0-A507-62B2310C5030}">
      <text>
        <r>
          <rPr>
            <b/>
            <sz val="9"/>
            <color indexed="81"/>
            <rFont val="Tahoma"/>
            <family val="2"/>
          </rPr>
          <t>Bruyns Fred H:</t>
        </r>
        <r>
          <rPr>
            <sz val="9"/>
            <color indexed="81"/>
            <rFont val="Tahoma"/>
            <family val="2"/>
          </rPr>
          <t xml:space="preserve">
Programming note: Sum of foot and ankle ROM impairment</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1BD94A09-0CAF-4FAA-A8CB-F658A4F323D0}">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80"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342" authorId="1" shapeId="0" xr:uid="{CBF77FC0-F3DD-415B-8D86-9A66B60F1FF9}">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353"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6"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4"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6"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3"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8"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C58644EA-EA9E-4183-ADDB-4881CF25148B}">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648CF069-9AEB-41F0-93D7-7EE5E43FCB7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FEC0EE82-2060-410F-981A-2EFF13001A39}">
      <text>
        <r>
          <rPr>
            <b/>
            <sz val="9"/>
            <color indexed="81"/>
            <rFont val="Tahoma"/>
            <family val="2"/>
          </rPr>
          <t>Bruyns Fred H:</t>
        </r>
        <r>
          <rPr>
            <sz val="9"/>
            <color indexed="81"/>
            <rFont val="Tahoma"/>
            <family val="2"/>
          </rPr>
          <t xml:space="preserve">
Programming note: The formula first returns zero if there ankylosis in the leg.
If the first condition is not satisfied, the formula returns zero if there are no irreversible findings in the leg or foot, but apportionment is applicable at the foot level. (Apportionment is done at the most proximal level unless there are irreversible findings in the body part). 
If the second condition is not satisfied, the formula returns the product of the ROM value times the most proximal apportionment percentage, if any. </t>
        </r>
      </text>
    </comment>
    <comment ref="E451"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3A2A7B57-4014-4A69-B92F-DDF19ABB4AFE}">
      <text>
        <r>
          <rPr>
            <b/>
            <sz val="9"/>
            <color indexed="81"/>
            <rFont val="Tahoma"/>
            <family val="2"/>
          </rPr>
          <t>Bruyns Fred H:</t>
        </r>
        <r>
          <rPr>
            <sz val="9"/>
            <color indexed="81"/>
            <rFont val="Tahoma"/>
            <family val="2"/>
          </rPr>
          <t xml:space="preserve">
Programming note: This message displays next to "Occupational disease" / "Occupational injury" if neither of the assocated checkboxes is checked.</t>
        </r>
      </text>
    </comment>
    <comment ref="D8" authorId="1" shapeId="0" xr:uid="{A9F02B89-B6AB-4D4C-BE71-1518D919011E}">
      <text>
        <r>
          <rPr>
            <b/>
            <sz val="9"/>
            <color indexed="81"/>
            <rFont val="Tahoma"/>
            <family val="2"/>
          </rPr>
          <t>Bruyns Fred H:</t>
        </r>
        <r>
          <rPr>
            <sz val="9"/>
            <color indexed="81"/>
            <rFont val="Tahoma"/>
            <family val="2"/>
          </rPr>
          <t xml:space="preserve">
Programming note: "NA" is displayed unless the checkbox for "Occupational injury" is checked.</t>
        </r>
      </text>
    </comment>
    <comment ref="S8" authorId="1" shapeId="0" xr:uid="{98321B48-3C61-4BEC-9D8B-CE82FABCDF55}">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T8" authorId="1" shapeId="0" xr:uid="{670F4703-66EB-49EA-8503-C0E4BAC98B5B}">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U8" authorId="1" shapeId="0" xr:uid="{5023736F-AFAD-4BF8-B9A3-D0EAD303CAA0}">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B9" authorId="1" shapeId="0" xr:uid="{2CC0D93D-2357-4159-A389-BB2C1CA26C18}">
      <text>
        <r>
          <rPr>
            <b/>
            <sz val="9"/>
            <color indexed="81"/>
            <rFont val="Tahoma"/>
            <family val="2"/>
          </rPr>
          <t>Bruyns Fred H:</t>
        </r>
        <r>
          <rPr>
            <sz val="9"/>
            <color indexed="81"/>
            <rFont val="Tahoma"/>
            <family val="2"/>
          </rPr>
          <t xml:space="preserve">
Programming note: Formula checks for required dates, the relationships between the dates, and displays error messages if appropriate.</t>
        </r>
      </text>
    </comment>
    <comment ref="O9" authorId="1" shapeId="0" xr:uid="{5BF9A684-BF78-4A97-A4F5-9A305180B39C}">
      <text>
        <r>
          <rPr>
            <b/>
            <sz val="9"/>
            <color indexed="81"/>
            <rFont val="Tahoma"/>
            <family val="2"/>
          </rPr>
          <t>Bruyns Fred H:</t>
        </r>
        <r>
          <rPr>
            <sz val="9"/>
            <color indexed="81"/>
            <rFont val="Tahoma"/>
            <family val="2"/>
          </rPr>
          <t xml:space="preserve">
Programming note: Formula checks for required dates and displays error message if appropriate.</t>
        </r>
      </text>
    </comment>
    <comment ref="O14" authorId="1" shapeId="0" xr:uid="{F38C0CD8-3356-4087-AF18-CFBB4AF2F2C6}">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S16" authorId="1" shapeId="0" xr:uid="{BDA61DAB-B610-4808-BB7B-F34A01A21609}">
      <text>
        <r>
          <rPr>
            <b/>
            <sz val="9"/>
            <color indexed="81"/>
            <rFont val="Tahoma"/>
            <family val="2"/>
          </rPr>
          <t>Bruyns Fred H:</t>
        </r>
        <r>
          <rPr>
            <sz val="9"/>
            <color indexed="81"/>
            <rFont val="Tahoma"/>
            <family val="2"/>
          </rPr>
          <t xml:space="preserve">
Programming note: Formula returns "1" if either the date of injury or date of baseline audiogram is missing.</t>
        </r>
      </text>
    </comment>
    <comment ref="T16" authorId="1" shapeId="0" xr:uid="{DC4929EA-B5F4-4437-9574-627C6C14BFD1}">
      <text>
        <r>
          <rPr>
            <b/>
            <sz val="9"/>
            <color indexed="81"/>
            <rFont val="Tahoma"/>
            <family val="2"/>
          </rPr>
          <t>Bruyns Fred H:</t>
        </r>
        <r>
          <rPr>
            <sz val="9"/>
            <color indexed="81"/>
            <rFont val="Tahoma"/>
            <family val="2"/>
          </rPr>
          <t xml:space="preserve">
Programming note: Formula returns "1" if either the date of injury or date of current audiogram is missing.</t>
        </r>
      </text>
    </comment>
    <comment ref="U16" authorId="1" shapeId="0" xr:uid="{5D6191B3-CEE1-4DE4-B1C8-152CCF51E98F}">
      <text>
        <r>
          <rPr>
            <b/>
            <sz val="9"/>
            <color indexed="81"/>
            <rFont val="Tahoma"/>
            <family val="2"/>
          </rPr>
          <t>Bruyns Fred H:</t>
        </r>
        <r>
          <rPr>
            <sz val="9"/>
            <color indexed="81"/>
            <rFont val="Tahoma"/>
            <family val="2"/>
          </rPr>
          <t xml:space="preserve">
Programming note: This is the sum of all audiogram findings - baseline and current.</t>
        </r>
      </text>
    </comment>
    <comment ref="S17" authorId="1" shapeId="0" xr:uid="{0934EDBB-3D2C-45AB-A6D3-BC83A71B0373}">
      <text>
        <r>
          <rPr>
            <b/>
            <sz val="9"/>
            <color indexed="81"/>
            <rFont val="Tahoma"/>
            <family val="2"/>
          </rPr>
          <t>Bruyns Fred H:</t>
        </r>
        <r>
          <rPr>
            <sz val="9"/>
            <color indexed="81"/>
            <rFont val="Tahoma"/>
            <family val="2"/>
          </rPr>
          <t xml:space="preserve">
Programming note: This is the sum of all baseline audiogram findings for the right ear.</t>
        </r>
      </text>
    </comment>
    <comment ref="U17" authorId="1" shapeId="0" xr:uid="{4A7FAF65-4708-4552-92FE-E2CE765F7AF3}">
      <text>
        <r>
          <rPr>
            <b/>
            <sz val="9"/>
            <color indexed="81"/>
            <rFont val="Tahoma"/>
            <family val="2"/>
          </rPr>
          <t>Bruyns Fred H:</t>
        </r>
        <r>
          <rPr>
            <sz val="9"/>
            <color indexed="81"/>
            <rFont val="Tahoma"/>
            <family val="2"/>
          </rPr>
          <t xml:space="preserve">
Programming note: This is the sum of all baseline audiogram findings for the left ear.</t>
        </r>
      </text>
    </comment>
    <comment ref="W17" authorId="1" shapeId="0" xr:uid="{B177A87A-BF6A-4735-8356-A3B117224DDC}">
      <text>
        <r>
          <rPr>
            <b/>
            <sz val="9"/>
            <color indexed="81"/>
            <rFont val="Tahoma"/>
            <family val="2"/>
          </rPr>
          <t>Bruyns Fred H:</t>
        </r>
        <r>
          <rPr>
            <sz val="9"/>
            <color indexed="81"/>
            <rFont val="Tahoma"/>
            <family val="2"/>
          </rPr>
          <t xml:space="preserve">
Programming note: This is the sum of all current audiogram findings for the right ear.</t>
        </r>
      </text>
    </comment>
    <comment ref="Y17" authorId="1" shapeId="0" xr:uid="{2C3A065D-D02E-43A4-9BBB-B0A024FFAD2B}">
      <text>
        <r>
          <rPr>
            <b/>
            <sz val="9"/>
            <color indexed="81"/>
            <rFont val="Tahoma"/>
            <family val="2"/>
          </rPr>
          <t>Bruyns Fred H:</t>
        </r>
        <r>
          <rPr>
            <sz val="9"/>
            <color indexed="81"/>
            <rFont val="Tahoma"/>
            <family val="2"/>
          </rPr>
          <t xml:space="preserve">
Programming note: This is the sum of all current audiogram findings for the left ear.</t>
        </r>
      </text>
    </comment>
    <comment ref="S22" authorId="1" shapeId="0" xr:uid="{B154C4B7-1794-4CAE-950D-1988582AD653}">
      <text>
        <r>
          <rPr>
            <b/>
            <sz val="9"/>
            <color indexed="81"/>
            <rFont val="Tahoma"/>
            <family val="2"/>
          </rPr>
          <t>Bruyns Fred H:</t>
        </r>
        <r>
          <rPr>
            <sz val="9"/>
            <color indexed="81"/>
            <rFont val="Tahoma"/>
            <family val="2"/>
          </rPr>
          <t xml:space="preserve">
Programming note: Formula returns "1" if there are any baseline audiogram findings entered.</t>
        </r>
      </text>
    </comment>
    <comment ref="S23" authorId="1" shapeId="0" xr:uid="{0E77AFA7-8276-4ADC-9AF0-22C00C2BDBFF}">
      <text>
        <r>
          <rPr>
            <b/>
            <sz val="9"/>
            <color indexed="81"/>
            <rFont val="Tahoma"/>
            <family val="2"/>
          </rPr>
          <t>Bruyns Fred H:</t>
        </r>
        <r>
          <rPr>
            <sz val="9"/>
            <color indexed="81"/>
            <rFont val="Tahoma"/>
            <family val="2"/>
          </rPr>
          <t xml:space="preserve">
Programming note: If the formula returns "1," the error message to the right is displayed on the chart, and the audiogram subtotals will display "ERROR."</t>
        </r>
      </text>
    </comment>
    <comment ref="W2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3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3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3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3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5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L7"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7"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8" authorId="1" shapeId="0" xr:uid="{1D90355C-01AE-457B-8DD1-FC0EB59B4541}">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F8" authorId="1" shapeId="0" xr:uid="{26FE1AE3-2593-4F8A-87A5-EF7D2FA6248F}">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L8"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8"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9"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M9"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74D628B3-2C10-4AD3-BBBA-69154E85B2B5}">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F12" authorId="1" shapeId="0" xr:uid="{468A1F96-1E60-4E99-BAA8-F4649FF855B8}">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0" authorId="1" shapeId="0" xr:uid="{53DF1A0B-C795-41BA-BD1F-2C9CBFCA5E4D}">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Z60" authorId="1" shapeId="0" xr:uid="{22C74D7D-6A60-443E-9A90-FBFA6B26F1EC}">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8C3B1762-91C1-4BB1-AB38-AFB6CB3429A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56344F26-A941-4551-8A1A-EFA79CE7F572}">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 ref="Y92" authorId="1" shapeId="0" xr:uid="{59015B40-3770-47CE-83DF-D7B3502C0DC5}">
      <text>
        <r>
          <rPr>
            <b/>
            <sz val="9"/>
            <color indexed="81"/>
            <rFont val="Tahoma"/>
            <family val="2"/>
          </rPr>
          <t>Bruyns Fred H:</t>
        </r>
        <r>
          <rPr>
            <sz val="9"/>
            <color indexed="81"/>
            <rFont val="Tahoma"/>
            <family val="2"/>
          </rPr>
          <t xml:space="preserve">
Programming note: Formula sums the impairment, if any, for irreversible findings other than ankylosis.</t>
        </r>
      </text>
    </comment>
  </commentList>
</comments>
</file>

<file path=xl/sharedStrings.xml><?xml version="1.0" encoding="utf-8"?>
<sst xmlns="http://schemas.openxmlformats.org/spreadsheetml/2006/main" count="8322" uniqueCount="2344">
  <si>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</si>
  <si>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</si>
  <si>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</si>
  <si>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</si>
  <si>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</si>
  <si>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</si>
  <si>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</si>
  <si>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</si>
  <si>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</si>
  <si>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</si>
  <si>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</si>
  <si>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</si>
  <si>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</si>
  <si>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</si>
  <si>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</si>
  <si>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</si>
  <si>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</si>
  <si>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</si>
  <si>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</si>
  <si>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</si>
  <si>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</si>
  <si>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</si>
  <si>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</si>
  <si>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</si>
  <si>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</si>
  <si>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</si>
  <si>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</si>
  <si>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</si>
  <si>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1=Yes, except ankylosis</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</si>
  <si>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</si>
  <si>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</si>
  <si>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</si>
  <si>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</si>
  <si>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</si>
  <si>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</si>
  <si>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</si>
  <si>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</si>
  <si>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</si>
  <si>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</si>
  <si>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</si>
  <si>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</si>
  <si>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</si>
  <si>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</si>
  <si>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</si>
  <si>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</si>
  <si>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</si>
  <si>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</si>
  <si>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</si>
  <si>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</si>
  <si>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</si>
  <si>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</si>
  <si>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</si>
  <si>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</si>
  <si>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</si>
  <si>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</si>
  <si>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</si>
  <si>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</si>
  <si>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</si>
  <si>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</si>
  <si>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</si>
  <si>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</si>
  <si>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</si>
  <si>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</si>
  <si>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</si>
  <si>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</si>
  <si>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Baseline audiogram date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</si>
  <si>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</si>
  <si>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</si>
  <si>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</si>
  <si>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</si>
  <si>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</si>
  <si>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</si>
  <si>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</si>
  <si>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</si>
  <si>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</si>
  <si>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</si>
  <si>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</si>
  <si>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</si>
  <si>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</si>
  <si>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</si>
  <si>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</si>
  <si>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</si>
  <si>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</si>
  <si>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</si>
  <si>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</si>
  <si>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</si>
  <si>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</si>
  <si>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</si>
  <si>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</si>
  <si>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</si>
  <si>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</si>
  <si>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</si>
  <si>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</si>
  <si>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</si>
  <si>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</si>
  <si>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</si>
  <si>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</si>
  <si>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</si>
  <si>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</si>
  <si>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</si>
  <si>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</si>
  <si>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</si>
  <si>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</si>
  <si>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</si>
  <si>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</si>
  <si>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</si>
  <si>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</si>
  <si>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</si>
  <si>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</si>
  <si>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</si>
  <si>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</si>
  <si>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</si>
  <si>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</si>
  <si>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Today</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</si>
  <si>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</si>
  <si>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</si>
  <si>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</si>
  <si>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</si>
  <si>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</si>
  <si>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</si>
  <si>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</si>
  <si>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</si>
  <si>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</si>
  <si>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</si>
  <si>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</si>
  <si>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</si>
  <si>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</si>
  <si>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</si>
  <si>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</si>
  <si>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</si>
  <si>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</si>
  <si>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</si>
  <si>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</si>
  <si>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</si>
  <si>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</si>
  <si>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</si>
  <si>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</si>
  <si>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</si>
  <si>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</si>
  <si>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</si>
  <si>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Required data for calculation: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</si>
  <si>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</si>
  <si>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</si>
  <si>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</si>
  <si>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</si>
  <si>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</si>
  <si>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</si>
  <si>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</si>
  <si>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</si>
  <si>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Baseline</t>
  </si>
  <si>
    <t>correction</t>
  </si>
  <si>
    <t>Current</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</si>
  <si>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</si>
  <si>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</si>
  <si>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</si>
  <si>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</si>
  <si>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</si>
  <si>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</si>
  <si>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</si>
  <si>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</si>
  <si>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</si>
  <si>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</si>
  <si>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</si>
  <si>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</si>
  <si>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</si>
  <si>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</si>
  <si>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</si>
  <si>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</si>
  <si>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</si>
  <si>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</si>
  <si>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</si>
  <si>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</si>
  <si>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</si>
  <si>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</si>
  <si>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</si>
  <si>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</si>
  <si>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</si>
  <si>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</si>
  <si>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</si>
  <si>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</si>
  <si>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</si>
  <si>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</si>
  <si>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</si>
  <si>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</si>
  <si>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</si>
  <si>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</si>
  <si>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</si>
  <si>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</si>
  <si>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</si>
  <si>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</si>
  <si>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</si>
  <si>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</si>
  <si>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</si>
  <si>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</si>
  <si>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</si>
  <si>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</si>
  <si>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Shoulder impairment includes ankylosis value, an irreversible finding - not apportioned.</t>
  </si>
  <si>
    <t xml:space="preserve">1=Apportionment value entered for ROM or at whole shoulder level </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</si>
  <si>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</si>
  <si>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</si>
  <si>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</si>
  <si>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</si>
  <si>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</si>
  <si>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</si>
  <si>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</si>
  <si>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</si>
  <si>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</si>
  <si>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</si>
  <si>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</si>
  <si>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</si>
  <si>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</si>
  <si>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</si>
  <si>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</si>
  <si>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</si>
  <si>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</si>
  <si>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</si>
  <si>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</si>
  <si>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</si>
  <si>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</si>
  <si>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</si>
  <si>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</si>
  <si>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</si>
  <si>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</si>
  <si>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</si>
  <si>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</si>
  <si>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</si>
  <si>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</si>
  <si>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</si>
  <si>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</si>
  <si>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</si>
  <si>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</si>
  <si>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</si>
  <si>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</si>
  <si>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</si>
  <si>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</si>
  <si>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</si>
  <si>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</si>
  <si>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</si>
  <si>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</si>
  <si>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</si>
  <si>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</si>
  <si>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</si>
  <si>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</si>
  <si>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</si>
  <si>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</si>
  <si>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</si>
  <si>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</si>
  <si>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</si>
  <si>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</si>
  <si>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</si>
  <si>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</si>
  <si>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</si>
  <si>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</si>
  <si>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</si>
  <si>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</si>
  <si>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</si>
  <si>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</si>
  <si>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</si>
  <si>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</si>
  <si>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</si>
  <si>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</si>
  <si>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</si>
  <si>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</si>
  <si>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</si>
  <si>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</si>
  <si>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</si>
  <si>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</si>
  <si>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</si>
  <si>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</si>
  <si>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</si>
  <si>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</si>
  <si>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</si>
  <si>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</si>
  <si>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</si>
  <si>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</si>
  <si>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</si>
  <si>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</si>
  <si>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</si>
  <si>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</si>
  <si>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</si>
  <si>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</si>
  <si>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</si>
  <si>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</si>
  <si>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</si>
  <si>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</si>
  <si>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</si>
  <si>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</si>
  <si>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</si>
  <si>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</si>
  <si>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</si>
  <si>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</si>
  <si>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</si>
  <si>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</si>
  <si>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</si>
  <si>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</si>
  <si>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</si>
  <si>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</si>
  <si>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</si>
  <si>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</si>
  <si>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</si>
  <si>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</si>
  <si>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</si>
  <si>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</si>
  <si>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&gt;0=Yes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</si>
  <si>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</si>
  <si>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</si>
  <si>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</si>
  <si>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</si>
  <si>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</si>
  <si>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</si>
  <si>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</si>
  <si>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</si>
  <si>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</si>
  <si>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</si>
  <si>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</si>
  <si>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</si>
  <si>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</si>
  <si>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</si>
  <si>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</si>
  <si>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</si>
  <si>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</si>
  <si>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</si>
  <si>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</si>
  <si>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</si>
  <si>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</si>
  <si>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</si>
  <si>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</si>
  <si>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</si>
  <si>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</si>
  <si>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</si>
  <si>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</si>
  <si>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</si>
  <si>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</si>
  <si>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</si>
  <si>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</si>
  <si>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</si>
  <si>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</si>
  <si>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</si>
  <si>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</si>
  <si>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</si>
  <si>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</si>
  <si>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</si>
  <si>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</si>
  <si>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</si>
  <si>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</si>
  <si>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</si>
  <si>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</si>
  <si>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</si>
  <si>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</si>
  <si>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</si>
  <si>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</si>
  <si>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</si>
  <si>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</si>
  <si>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</si>
  <si>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</si>
  <si>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</si>
  <si>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</si>
  <si>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</si>
  <si>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</si>
  <si>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</si>
  <si>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</si>
  <si>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</si>
  <si>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</si>
  <si>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</si>
  <si>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</si>
  <si>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</si>
  <si>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</si>
  <si>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</si>
  <si>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</si>
  <si>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</si>
  <si>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</si>
  <si>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</si>
  <si>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</si>
  <si>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</si>
  <si>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</si>
  <si>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</si>
  <si>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</si>
  <si>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</si>
  <si>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</si>
  <si>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</si>
  <si>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</si>
  <si>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</si>
  <si>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</si>
  <si>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</si>
  <si>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</si>
  <si>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</si>
  <si>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</si>
  <si>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</si>
  <si>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</si>
  <si>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</si>
  <si>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</si>
  <si>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</si>
  <si>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</si>
  <si>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</si>
  <si>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</si>
  <si>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</si>
  <si>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</si>
  <si>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</si>
  <si>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</si>
  <si>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</si>
  <si>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</si>
  <si>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</si>
  <si>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</si>
  <si>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</si>
  <si>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</si>
  <si>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</si>
  <si>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</si>
  <si>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1=Hand/thumb ankylosis</t>
  </si>
  <si>
    <t>1=Wrist ankylosis</t>
  </si>
  <si>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</si>
  <si>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</si>
  <si>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</si>
  <si>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</si>
  <si>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</si>
  <si>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</si>
  <si>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</si>
  <si>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</si>
  <si>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</si>
  <si>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</si>
  <si>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</si>
  <si>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</si>
  <si>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</si>
  <si>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</si>
  <si>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</si>
  <si>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</si>
  <si>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</si>
  <si>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</si>
  <si>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</si>
  <si>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</si>
  <si>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</si>
  <si>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</si>
  <si>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</si>
  <si>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</si>
  <si>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</si>
  <si>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</si>
  <si>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</si>
  <si>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</si>
  <si>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</si>
  <si>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</si>
  <si>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</si>
  <si>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</si>
  <si>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</si>
  <si>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</si>
  <si>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</si>
  <si>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</si>
  <si>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</si>
  <si>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</si>
  <si>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</si>
  <si>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</si>
  <si>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</si>
  <si>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</si>
  <si>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</si>
  <si>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</si>
  <si>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</si>
  <si>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</si>
  <si>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</si>
  <si>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</si>
  <si>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</si>
  <si>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</si>
  <si>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</si>
  <si>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</si>
  <si>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</si>
  <si>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</si>
  <si>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</si>
  <si>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</si>
  <si>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</si>
  <si>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</si>
  <si>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</si>
  <si>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</si>
  <si>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</si>
  <si>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</si>
  <si>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</si>
  <si>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</si>
  <si>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</si>
  <si>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Prosthetic carpal bone replacement:</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</si>
  <si>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</si>
  <si>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</si>
  <si>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</si>
  <si>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</si>
  <si>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</si>
  <si>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</si>
  <si>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</si>
  <si>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</si>
  <si>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</si>
  <si>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</si>
  <si>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</si>
  <si>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</si>
  <si>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</si>
  <si>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</si>
  <si>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</si>
  <si>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</si>
  <si>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</si>
  <si>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</si>
  <si>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</si>
  <si>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</si>
  <si>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</si>
  <si>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</si>
  <si>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</si>
  <si>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</si>
  <si>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</si>
  <si>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</si>
  <si>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</si>
  <si>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</si>
  <si>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</si>
  <si>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</si>
  <si>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</si>
  <si>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</si>
  <si>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</si>
  <si>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</si>
  <si>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</si>
  <si>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</si>
  <si>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</si>
  <si>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</si>
  <si>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</si>
  <si>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</si>
  <si>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</si>
  <si>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</si>
  <si>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</si>
  <si>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</si>
  <si>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</si>
  <si>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</si>
  <si>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</si>
  <si>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</si>
  <si>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</si>
  <si>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</si>
  <si>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</si>
  <si>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</si>
  <si>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</si>
  <si>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</si>
  <si>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</si>
  <si>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</si>
  <si>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</si>
  <si>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</si>
  <si>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</si>
  <si>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</si>
  <si>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</si>
  <si>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</si>
  <si>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</si>
  <si>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</si>
  <si>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</si>
  <si>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</si>
  <si>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</si>
  <si>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</si>
  <si>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</si>
  <si>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</si>
  <si>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</si>
  <si>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</si>
  <si>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</si>
  <si>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</si>
  <si>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</si>
  <si>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</si>
  <si>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</si>
  <si>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</si>
  <si>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</si>
  <si>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</si>
  <si>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</si>
  <si>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</si>
  <si>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</si>
  <si>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</si>
  <si>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</si>
  <si>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</si>
  <si>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</si>
  <si>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</si>
  <si>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</si>
  <si>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</si>
  <si>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</si>
  <si>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</si>
  <si>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</si>
  <si>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</si>
  <si>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</si>
  <si>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</si>
  <si>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</si>
  <si>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</si>
  <si>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</si>
  <si>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</si>
  <si>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</si>
  <si>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</si>
  <si>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</si>
  <si>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</si>
  <si>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</si>
  <si>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</si>
  <si>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</si>
  <si>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</si>
  <si>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</si>
  <si>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</si>
  <si>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</si>
  <si>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</si>
  <si>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</si>
  <si>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</si>
  <si>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</si>
  <si>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</si>
  <si>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</si>
  <si>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</si>
  <si>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</si>
  <si>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</si>
  <si>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</si>
  <si>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</si>
  <si>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</si>
  <si>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</si>
  <si>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</si>
  <si>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</si>
  <si>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</si>
  <si>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</si>
  <si>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</si>
  <si>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</si>
  <si>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</si>
  <si>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</si>
  <si>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</si>
  <si>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</si>
  <si>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</si>
  <si>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</si>
  <si>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</si>
  <si>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</si>
  <si>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</si>
  <si>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</si>
  <si>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</si>
  <si>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</si>
  <si>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</si>
  <si>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</si>
  <si>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</si>
  <si>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</si>
  <si>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</si>
  <si>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</si>
  <si>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</si>
  <si>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</si>
  <si>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</si>
  <si>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</si>
  <si>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</si>
  <si>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</si>
  <si>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</si>
  <si>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</si>
  <si>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</si>
  <si>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</si>
  <si>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</si>
  <si>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</si>
  <si>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</si>
  <si>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</si>
  <si>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</si>
  <si>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</si>
  <si>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</si>
  <si>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Hip impairment includes ankylosis value, an irreversible finding - not apportioned.</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</si>
  <si>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</si>
  <si>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</si>
  <si>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</si>
  <si>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</si>
  <si>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</si>
  <si>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</si>
  <si>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</si>
  <si>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</si>
  <si>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</si>
  <si>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</si>
  <si>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</si>
  <si>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</si>
  <si>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</si>
  <si>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</si>
  <si>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</si>
  <si>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</si>
  <si>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</si>
  <si>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</si>
  <si>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</si>
  <si>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</si>
  <si>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</si>
  <si>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</si>
  <si>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</si>
  <si>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</si>
  <si>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</si>
  <si>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</si>
  <si>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</si>
  <si>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</si>
  <si>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</si>
  <si>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</si>
  <si>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</si>
  <si>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</si>
  <si>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</si>
  <si>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</si>
  <si>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</si>
  <si>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</si>
  <si>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</si>
  <si>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</si>
  <si>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</si>
  <si>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</si>
  <si>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</si>
  <si>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</si>
  <si>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</si>
  <si>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</si>
  <si>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</si>
  <si>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</si>
  <si>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</si>
  <si>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</si>
  <si>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</si>
  <si>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</si>
  <si>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</si>
  <si>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</si>
  <si>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</si>
  <si>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</si>
  <si>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</si>
  <si>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</si>
  <si>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</si>
  <si>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</si>
  <si>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</si>
  <si>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</si>
  <si>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</si>
  <si>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</si>
  <si>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</si>
  <si>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</si>
  <si>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</si>
  <si>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</si>
  <si>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</si>
  <si>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</si>
  <si>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</si>
  <si>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</si>
  <si>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</si>
  <si>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</si>
  <si>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</si>
  <si>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</si>
  <si>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</si>
  <si>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</si>
  <si>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</si>
  <si>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</si>
  <si>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</si>
  <si>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</si>
  <si>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</si>
  <si>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</si>
  <si>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</si>
  <si>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</si>
  <si>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</si>
  <si>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</si>
  <si>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</si>
  <si>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</si>
  <si>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</si>
  <si>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</si>
  <si>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</si>
  <si>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</si>
  <si>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</si>
  <si>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</si>
  <si>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</si>
  <si>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</si>
  <si>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</si>
  <si>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</si>
  <si>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</si>
  <si>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</si>
  <si>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Current audiogram date</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</si>
  <si>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</si>
  <si>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</si>
  <si>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</si>
  <si>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</si>
  <si>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</si>
  <si>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</si>
  <si>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</si>
  <si>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</si>
  <si>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</si>
  <si>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</si>
  <si>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</si>
  <si>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</si>
  <si>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</si>
  <si>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</si>
  <si>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</si>
  <si>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</si>
  <si>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</si>
  <si>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</si>
  <si>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</si>
  <si>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</si>
  <si>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</si>
  <si>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</si>
  <si>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</si>
  <si>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</si>
  <si>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</si>
  <si>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</si>
  <si>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</si>
  <si>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</si>
  <si>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</si>
  <si>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</si>
  <si>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</si>
  <si>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</si>
  <si>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</si>
  <si>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</si>
  <si>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</si>
  <si>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</si>
  <si>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</si>
  <si>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</si>
  <si>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</si>
  <si>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</si>
  <si>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</si>
  <si>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</si>
  <si>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</si>
  <si>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</si>
  <si>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</si>
  <si>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</si>
  <si>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</si>
  <si>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</si>
  <si>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</si>
  <si>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</si>
  <si>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</si>
  <si>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</si>
  <si>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</si>
  <si>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</si>
  <si>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</si>
  <si>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</si>
  <si>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</si>
  <si>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</si>
  <si>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</si>
  <si>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</si>
  <si>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</si>
  <si>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</si>
  <si>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</si>
  <si>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</si>
  <si>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</si>
  <si>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</si>
  <si>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</si>
  <si>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</si>
  <si>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</si>
  <si>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</si>
  <si>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</si>
  <si>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</si>
  <si>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1=with ankylosis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</si>
  <si>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</si>
  <si>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</si>
  <si>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</si>
  <si>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</si>
  <si>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</si>
  <si>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</si>
  <si>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</si>
  <si>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</si>
  <si>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</si>
  <si>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</si>
  <si>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</si>
  <si>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</si>
  <si>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</si>
  <si>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</si>
  <si>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</si>
  <si>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</si>
  <si>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</si>
  <si>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</si>
  <si>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</si>
  <si>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</si>
  <si>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</si>
  <si>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</si>
  <si>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</si>
  <si>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</si>
  <si>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</si>
  <si>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</si>
  <si>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</si>
  <si>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</si>
  <si>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</si>
  <si>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</si>
  <si>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</si>
  <si>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</si>
  <si>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</si>
  <si>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</si>
  <si>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</si>
  <si>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</si>
  <si>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</si>
  <si>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</si>
  <si>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</si>
  <si>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</si>
  <si>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</si>
  <si>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</si>
  <si>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</si>
  <si>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</si>
  <si>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</si>
  <si>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</si>
  <si>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</si>
  <si>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</si>
  <si>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</si>
  <si>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</si>
  <si>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</si>
  <si>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</si>
  <si>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</si>
  <si>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</si>
  <si>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</si>
  <si>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</si>
  <si>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</si>
  <si>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</si>
  <si>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</si>
  <si>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</si>
  <si>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</si>
  <si>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</si>
  <si>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</si>
  <si>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</si>
  <si>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</si>
  <si>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</si>
  <si>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</si>
  <si>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</si>
  <si>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</si>
  <si>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</si>
  <si>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</si>
  <si>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</si>
  <si>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</si>
  <si>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</si>
  <si>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</si>
  <si>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</si>
  <si>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</si>
  <si>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</si>
  <si>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</si>
  <si>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</si>
  <si>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</si>
  <si>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</si>
  <si>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</si>
  <si>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</si>
  <si>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</si>
  <si>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</si>
  <si>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</si>
  <si>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</si>
  <si>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</si>
  <si>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</si>
  <si>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</si>
  <si>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</si>
  <si>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</si>
  <si>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</si>
  <si>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</si>
  <si>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</si>
  <si>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</si>
  <si>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</si>
  <si>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</si>
  <si>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</si>
  <si>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</si>
  <si>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</si>
  <si>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</si>
  <si>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</si>
  <si>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</si>
  <si>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</si>
  <si>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</si>
  <si>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</si>
  <si>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</si>
  <si>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</si>
  <si>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</si>
  <si>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</si>
  <si>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</si>
  <si>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</si>
  <si>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</si>
  <si>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</si>
  <si>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</si>
  <si>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</si>
  <si>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</si>
  <si>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</si>
  <si>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</si>
  <si>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</si>
  <si>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</si>
  <si>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</si>
  <si>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</si>
  <si>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</si>
  <si>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</si>
  <si>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</si>
  <si>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</si>
  <si>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</si>
  <si>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</si>
  <si>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</si>
  <si>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</si>
  <si>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</si>
  <si>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</si>
  <si>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</si>
  <si>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</si>
  <si>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</si>
  <si>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</si>
  <si>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</si>
  <si>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</si>
  <si>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</si>
  <si>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</si>
  <si>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</si>
  <si>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</si>
  <si>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</si>
  <si>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</si>
  <si>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</si>
  <si>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</si>
  <si>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</si>
  <si>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</si>
  <si>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</si>
  <si>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</si>
  <si>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</si>
  <si>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</si>
  <si>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</si>
  <si>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</si>
  <si>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</si>
  <si>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</si>
  <si>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</si>
  <si>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</si>
  <si>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</si>
  <si>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</si>
  <si>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</si>
  <si>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</si>
  <si>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</si>
  <si>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</si>
  <si>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</si>
  <si>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</si>
  <si>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</si>
  <si>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</si>
  <si>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</si>
  <si>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</si>
  <si>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</si>
  <si>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</si>
  <si>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</si>
  <si>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</si>
  <si>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</si>
  <si>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</si>
  <si>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</si>
  <si>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</si>
  <si>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</si>
  <si>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</si>
  <si>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</si>
  <si>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</si>
  <si>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</si>
  <si>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</si>
  <si>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</si>
  <si>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</si>
  <si>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Irreversible findings</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</si>
  <si>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</si>
  <si>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</si>
  <si>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</si>
  <si>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</si>
  <si>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</si>
  <si>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</si>
  <si>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</si>
  <si>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</si>
  <si>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</si>
  <si>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</si>
  <si>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</si>
  <si>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</si>
  <si>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</si>
  <si>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</si>
  <si>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</si>
  <si>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</si>
  <si>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</si>
  <si>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</si>
  <si>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</si>
  <si>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</si>
  <si>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</si>
  <si>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</si>
  <si>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</si>
  <si>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</si>
  <si>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</si>
  <si>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</si>
  <si>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</si>
  <si>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</si>
  <si>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</si>
  <si>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</si>
  <si>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</si>
  <si>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</si>
  <si>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</si>
  <si>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</si>
  <si>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</si>
  <si>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</si>
  <si>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</si>
  <si>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</si>
  <si>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</si>
  <si>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</si>
  <si>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</si>
  <si>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</si>
  <si>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</si>
  <si>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</si>
  <si>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</si>
  <si>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</si>
  <si>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</si>
  <si>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</si>
  <si>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</si>
  <si>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</si>
  <si>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</si>
  <si>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</si>
  <si>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</si>
  <si>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</si>
  <si>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</si>
  <si>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</si>
  <si>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</si>
  <si>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</si>
  <si>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</si>
  <si>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</si>
  <si>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</si>
  <si>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</si>
  <si>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</si>
  <si>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</si>
  <si>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</si>
  <si>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</si>
  <si>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</si>
  <si>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</si>
  <si>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</si>
  <si>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</si>
  <si>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</si>
  <si>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</si>
  <si>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</si>
  <si>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</si>
  <si>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</si>
  <si>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</si>
  <si>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</si>
  <si>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</si>
  <si>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</si>
  <si>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Combining</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</si>
  <si>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</si>
  <si>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</si>
  <si>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</si>
  <si>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</si>
  <si>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</si>
  <si>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</si>
  <si>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</si>
  <si>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</si>
  <si>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</si>
  <si>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</si>
  <si>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</si>
  <si>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</si>
  <si>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</si>
  <si>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</si>
  <si>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</si>
  <si>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</si>
  <si>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</si>
  <si>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</si>
  <si>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</si>
  <si>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</si>
  <si>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</si>
  <si>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</si>
  <si>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</si>
  <si>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</si>
  <si>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</si>
  <si>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</si>
  <si>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</si>
  <si>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</si>
  <si>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</si>
  <si>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</si>
  <si>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</si>
  <si>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</si>
  <si>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</si>
  <si>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</si>
  <si>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</si>
  <si>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</si>
  <si>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</si>
  <si>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</si>
  <si>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</si>
  <si>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</si>
  <si>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</si>
  <si>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</si>
  <si>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</si>
  <si>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</si>
  <si>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</si>
  <si>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</si>
  <si>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</si>
  <si>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</si>
  <si>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</si>
  <si>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</si>
  <si>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</si>
  <si>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</si>
  <si>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</si>
  <si>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</si>
  <si>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</si>
  <si>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</si>
  <si>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</si>
  <si>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</si>
  <si>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</si>
  <si>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</si>
  <si>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</si>
  <si>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</si>
  <si>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</si>
  <si>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</si>
  <si>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</si>
  <si>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</si>
  <si>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</si>
  <si>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</si>
  <si>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</si>
  <si>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</si>
  <si>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</si>
  <si>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</si>
  <si>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</si>
  <si>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</si>
  <si>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</si>
  <si>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</si>
  <si>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</si>
  <si>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</si>
  <si>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</si>
  <si>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</si>
  <si>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</si>
  <si>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</si>
  <si>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</si>
  <si>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</si>
  <si>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</si>
  <si>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</si>
  <si>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</si>
  <si>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</si>
  <si>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</si>
  <si>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</si>
  <si>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</si>
  <si>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</si>
  <si>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</si>
  <si>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</si>
  <si>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</si>
  <si>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</si>
  <si>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</si>
  <si>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</si>
  <si>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</si>
  <si>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</si>
  <si>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</si>
  <si>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</si>
  <si>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</si>
  <si>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</si>
  <si>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</si>
  <si>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</si>
  <si>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</si>
  <si>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</si>
  <si>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</si>
  <si>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</si>
  <si>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</si>
  <si>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</si>
  <si>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</si>
  <si>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</si>
  <si>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</si>
  <si>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</si>
  <si>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</si>
  <si>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</si>
  <si>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</si>
  <si>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</si>
  <si>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</si>
  <si>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</si>
  <si>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</si>
  <si>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</si>
  <si>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</si>
  <si>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</si>
  <si>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</si>
  <si>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</si>
  <si>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</si>
  <si>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</si>
  <si>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</si>
  <si>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</si>
  <si>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</si>
  <si>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</si>
  <si>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</si>
  <si>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</si>
  <si>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</si>
  <si>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</si>
  <si>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</si>
  <si>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</si>
  <si>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</si>
  <si>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</si>
  <si>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</si>
  <si>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</si>
  <si>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</si>
  <si>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</si>
  <si>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</si>
  <si>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</si>
  <si>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</si>
  <si>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</si>
  <si>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</si>
  <si>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</si>
  <si>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</si>
  <si>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</si>
  <si>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</si>
  <si>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</si>
  <si>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</si>
  <si>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</si>
  <si>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</si>
  <si>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</si>
  <si>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</si>
  <si>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</si>
  <si>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</si>
  <si>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</si>
  <si>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</si>
  <si>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</si>
  <si>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</si>
  <si>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</si>
  <si>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</si>
  <si>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</si>
  <si>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</si>
  <si>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 xml:space="preserve">1=Apportionment value entered for ROM or at whole hip level </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</si>
  <si>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</si>
  <si>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</si>
  <si>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</si>
  <si>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</si>
  <si>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</si>
  <si>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</si>
  <si>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</si>
  <si>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</si>
  <si>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</si>
  <si>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</si>
  <si>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</si>
  <si>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</si>
  <si>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</si>
  <si>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</si>
  <si>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</si>
  <si>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</si>
  <si>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</si>
  <si>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</si>
  <si>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</si>
  <si>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</si>
  <si>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</si>
  <si>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</si>
  <si>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</si>
  <si>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</si>
  <si>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</si>
  <si>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</si>
  <si>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</si>
  <si>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</si>
  <si>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</si>
  <si>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</si>
  <si>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</si>
  <si>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</si>
  <si>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</si>
  <si>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</si>
  <si>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</si>
  <si>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</si>
  <si>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</si>
  <si>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</si>
  <si>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</si>
  <si>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</si>
  <si>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</si>
  <si>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</si>
  <si>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</si>
  <si>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</si>
  <si>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</si>
  <si>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</si>
  <si>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</si>
  <si>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</si>
  <si>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</si>
  <si>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</si>
  <si>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</si>
  <si>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</si>
  <si>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</si>
  <si>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</si>
  <si>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</si>
  <si>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</si>
  <si>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</si>
  <si>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</si>
  <si>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</si>
  <si>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</si>
  <si>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</si>
  <si>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</si>
  <si>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</si>
  <si>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</si>
  <si>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</si>
  <si>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</si>
  <si>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</si>
  <si>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</si>
  <si>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</si>
  <si>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0=Ankylosis</t>
  </si>
  <si>
    <t>0=Irreversible findings</t>
  </si>
  <si>
    <t>0=Other</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</si>
  <si>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</si>
  <si>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</si>
  <si>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</si>
  <si>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</si>
  <si>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</si>
  <si>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</si>
  <si>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</si>
  <si>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</si>
  <si>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</si>
  <si>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</si>
  <si>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</si>
  <si>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</si>
  <si>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</si>
  <si>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</si>
  <si>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</si>
  <si>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</si>
  <si>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</si>
  <si>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</si>
  <si>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</si>
  <si>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</si>
  <si>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</si>
  <si>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</si>
  <si>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</si>
  <si>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</si>
  <si>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</si>
  <si>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</si>
  <si>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</si>
  <si>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</si>
  <si>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</si>
  <si>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</si>
  <si>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</si>
  <si>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</si>
  <si>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</si>
  <si>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</si>
  <si>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</si>
  <si>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</si>
  <si>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</si>
  <si>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</si>
  <si>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</si>
  <si>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</si>
  <si>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</si>
  <si>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</si>
  <si>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Date of birth,
or enter age below:</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</si>
  <si>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</si>
  <si>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</si>
  <si>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</si>
  <si>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</si>
  <si>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</si>
  <si>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</si>
  <si>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</si>
  <si>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</si>
  <si>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</si>
  <si>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</si>
  <si>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</si>
  <si>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</si>
  <si>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</si>
  <si>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</si>
  <si>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</si>
  <si>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</si>
  <si>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</si>
  <si>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</si>
  <si>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</si>
  <si>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</si>
  <si>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</si>
  <si>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</si>
  <si>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</si>
  <si>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</si>
  <si>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</si>
  <si>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</si>
  <si>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</si>
  <si>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</si>
  <si>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</si>
  <si>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</si>
  <si>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</si>
  <si>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</si>
  <si>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1=Includes ankylosis</t>
  </si>
  <si>
    <t>Monaural loss = current minus baseline.</t>
  </si>
  <si>
    <t>Monaural total:</t>
  </si>
  <si>
    <t>Age</t>
  </si>
  <si>
    <t>Male</t>
  </si>
  <si>
    <t>Female</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</si>
  <si>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</si>
  <si>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</si>
  <si>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</si>
  <si>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</si>
  <si>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</si>
  <si>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</si>
  <si>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</si>
  <si>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</si>
  <si>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</si>
  <si>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</si>
  <si>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</si>
  <si>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</si>
  <si>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</si>
  <si>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</si>
  <si>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</si>
  <si>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</si>
  <si>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</si>
  <si>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</si>
  <si>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</si>
  <si>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</si>
  <si>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</si>
  <si>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</si>
  <si>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</si>
  <si>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</si>
  <si>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</si>
  <si>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</si>
  <si>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</si>
  <si>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</si>
  <si>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</si>
  <si>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</si>
  <si>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</si>
  <si>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</si>
  <si>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</si>
  <si>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</si>
  <si>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</si>
  <si>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</si>
  <si>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</si>
  <si>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</si>
  <si>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</si>
  <si>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</si>
  <si>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</si>
  <si>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</si>
  <si>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</si>
  <si>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</si>
  <si>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</si>
  <si>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</si>
  <si>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</si>
  <si>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</si>
  <si>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</si>
  <si>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</si>
  <si>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</si>
  <si>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</si>
  <si>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</si>
  <si>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</si>
  <si>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</si>
  <si>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</si>
  <si>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</si>
  <si>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</si>
  <si>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</si>
  <si>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</si>
  <si>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</si>
  <si>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</si>
  <si>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</si>
  <si>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</si>
  <si>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</si>
  <si>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Prosthetic carpal bone replacement(s)</t>
  </si>
  <si>
    <t>Carpal bone(s) removed, 
no replacement</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</si>
  <si>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</si>
  <si>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</si>
  <si>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</si>
  <si>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</si>
  <si>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</si>
  <si>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</si>
  <si>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</si>
  <si>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</si>
  <si>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</si>
  <si>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</si>
  <si>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</si>
  <si>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</si>
  <si>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</si>
  <si>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</si>
  <si>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</si>
  <si>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</si>
  <si>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</si>
  <si>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</si>
  <si>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</si>
  <si>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</si>
  <si>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</si>
  <si>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</si>
  <si>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</si>
  <si>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</si>
  <si>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</si>
  <si>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</si>
  <si>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</si>
  <si>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</si>
  <si>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</si>
  <si>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</si>
  <si>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</si>
  <si>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</si>
  <si>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</si>
  <si>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</si>
  <si>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</si>
  <si>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</si>
  <si>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</si>
  <si>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</si>
  <si>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</si>
  <si>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</si>
  <si>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</si>
  <si>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</si>
  <si>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</si>
  <si>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</si>
  <si>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</si>
  <si>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</si>
  <si>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</si>
  <si>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</si>
  <si>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</si>
  <si>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</si>
  <si>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</si>
  <si>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</si>
  <si>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</si>
  <si>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</si>
  <si>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</si>
  <si>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</si>
  <si>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</si>
  <si>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</si>
  <si>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</si>
  <si>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</si>
  <si>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</si>
  <si>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</si>
  <si>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</si>
  <si>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</si>
  <si>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</si>
  <si>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</si>
  <si>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</si>
  <si>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</si>
  <si>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</si>
  <si>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</si>
  <si>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</si>
  <si>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</si>
  <si>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Carpal bone removal, without replacement:</t>
  </si>
  <si>
    <t>Resection with replacement</t>
  </si>
  <si>
    <t>Overall loss at level shown; no averaging</t>
  </si>
  <si>
    <t>Subtract 150 dB threshold from the presbycusis value</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</si>
  <si>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</si>
  <si>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</si>
  <si>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</si>
  <si>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</si>
  <si>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</si>
  <si>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</si>
  <si>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</si>
  <si>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</si>
  <si>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</si>
  <si>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</si>
  <si>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</si>
  <si>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</si>
  <si>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</si>
  <si>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</si>
  <si>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</si>
  <si>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</si>
  <si>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</si>
  <si>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</si>
  <si>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</si>
  <si>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</si>
  <si>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</si>
  <si>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</si>
  <si>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</si>
  <si>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</si>
  <si>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</si>
  <si>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</si>
  <si>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</si>
  <si>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</si>
  <si>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</si>
  <si>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</si>
  <si>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</si>
  <si>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</si>
  <si>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</si>
  <si>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</si>
  <si>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</si>
  <si>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</si>
  <si>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</si>
  <si>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</si>
  <si>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</si>
  <si>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</si>
  <si>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</si>
  <si>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</si>
  <si>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</si>
  <si>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</si>
  <si>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</si>
  <si>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</si>
  <si>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</si>
  <si>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</si>
  <si>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</si>
  <si>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</si>
  <si>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</si>
  <si>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</si>
  <si>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</si>
  <si>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</si>
  <si>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</si>
  <si>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</si>
  <si>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</si>
  <si>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</si>
  <si>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</si>
  <si>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</si>
  <si>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</si>
  <si>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</si>
  <si>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</si>
  <si>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</si>
  <si>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</si>
  <si>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</si>
  <si>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</si>
  <si>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</si>
  <si>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</si>
  <si>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</si>
  <si>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</si>
  <si>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</si>
  <si>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</si>
  <si>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</si>
  <si>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</si>
  <si>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</si>
  <si>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</si>
  <si>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</si>
  <si>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</si>
  <si>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</si>
  <si>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</si>
  <si>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</si>
  <si>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</si>
  <si>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</si>
  <si>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</si>
  <si>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</si>
  <si>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</si>
  <si>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</si>
  <si>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</si>
  <si>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</si>
  <si>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</si>
  <si>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Apportion-ment (if any)</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</si>
  <si>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</si>
  <si>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</si>
  <si>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</si>
  <si>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</si>
  <si>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</si>
  <si>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</si>
  <si>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</si>
  <si>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</si>
  <si>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</si>
  <si>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</si>
  <si>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</si>
  <si>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</si>
  <si>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</si>
  <si>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</si>
  <si>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</si>
  <si>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</si>
  <si>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</si>
  <si>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</si>
  <si>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</si>
  <si>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</si>
  <si>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</si>
  <si>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</si>
  <si>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</si>
  <si>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</si>
  <si>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</si>
  <si>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</si>
  <si>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</si>
  <si>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</si>
  <si>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</si>
  <si>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</si>
  <si>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</si>
  <si>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</si>
  <si>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</si>
  <si>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</si>
  <si>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</si>
  <si>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</si>
  <si>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</si>
  <si>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</si>
  <si>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</si>
  <si>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</si>
  <si>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</si>
  <si>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</si>
  <si>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</si>
  <si>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</si>
  <si>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</si>
  <si>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</si>
  <si>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</si>
  <si>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</si>
  <si>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</si>
  <si>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</si>
  <si>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</si>
  <si>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</si>
  <si>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</si>
  <si>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</si>
  <si>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</si>
  <si>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</si>
  <si>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</si>
  <si>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</si>
  <si>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</si>
  <si>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</si>
  <si>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</si>
  <si>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</si>
  <si>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</si>
  <si>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</si>
  <si>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</si>
  <si>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</si>
  <si>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</si>
  <si>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</si>
  <si>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</si>
  <si>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</si>
  <si>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</si>
  <si>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</si>
  <si>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</si>
  <si>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</si>
  <si>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</si>
  <si>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</si>
  <si>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</si>
  <si>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</si>
  <si>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</si>
  <si>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</si>
  <si>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</si>
  <si>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</si>
  <si>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</si>
  <si>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t>Transfer:</t>
  </si>
  <si>
    <t>Sort:</t>
  </si>
  <si>
    <t>Combine:</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</si>
  <si>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</si>
  <si>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</si>
  <si>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</si>
  <si>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</si>
  <si>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</si>
  <si>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</si>
  <si>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</si>
  <si>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</si>
  <si>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</si>
  <si>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</si>
  <si>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</si>
  <si>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</si>
  <si>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</si>
  <si>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</si>
  <si>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</si>
  <si>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</si>
  <si>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</si>
  <si>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</si>
  <si>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</si>
  <si>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</si>
  <si>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</si>
  <si>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</si>
  <si>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</si>
  <si>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</si>
  <si>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</si>
  <si>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</si>
  <si>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</si>
  <si>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</si>
  <si>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</si>
  <si>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</si>
  <si>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</si>
  <si>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</si>
  <si>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</si>
  <si>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</si>
  <si>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</si>
  <si>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</si>
  <si>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</si>
  <si>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</si>
  <si>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</si>
  <si>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Date of birth (required if social/vocational factors apply and for hearing loss claims)</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</si>
  <si>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</si>
  <si>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</si>
  <si>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</si>
  <si>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</si>
  <si>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</si>
  <si>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</si>
  <si>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</si>
  <si>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</si>
  <si>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</si>
  <si>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</si>
  <si>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</si>
  <si>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</si>
  <si>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</si>
  <si>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</si>
  <si>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</si>
  <si>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</si>
  <si>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</si>
  <si>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</si>
  <si>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</si>
  <si>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</si>
  <si>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</si>
  <si>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</si>
  <si>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</si>
  <si>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</si>
  <si>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</si>
  <si>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</si>
  <si>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</si>
  <si>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</si>
  <si>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</si>
  <si>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1=Includes ankylosis (except tarsometatarsal)</t>
  </si>
  <si>
    <t>Excludes ankylosis (except tarsometatarsal)</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</si>
  <si>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</si>
  <si>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</si>
  <si>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</si>
  <si>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</si>
  <si>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</si>
  <si>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</si>
  <si>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</si>
  <si>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</si>
  <si>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</si>
  <si>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</si>
  <si>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</si>
  <si>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</si>
  <si>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</si>
  <si>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</si>
  <si>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</si>
  <si>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</si>
  <si>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</si>
  <si>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</si>
  <si>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</si>
  <si>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</si>
  <si>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</si>
  <si>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</si>
  <si>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</si>
  <si>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</si>
  <si>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</si>
  <si>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</si>
  <si>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</si>
  <si>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</si>
  <si>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</si>
  <si>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</si>
  <si>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</si>
  <si>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</si>
  <si>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</si>
  <si>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</si>
  <si>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</si>
  <si>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</si>
  <si>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</si>
  <si>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</si>
  <si>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</si>
  <si>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</si>
  <si>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</si>
  <si>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</si>
  <si>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</si>
  <si>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</si>
  <si>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</si>
  <si>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</si>
  <si>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</si>
  <si>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</si>
  <si>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</si>
  <si>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</si>
  <si>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</si>
  <si>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</si>
  <si>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</si>
  <si>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</si>
  <si>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</si>
  <si>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</si>
  <si>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</si>
  <si>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</si>
  <si>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</si>
  <si>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</si>
  <si>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</si>
  <si>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</si>
  <si>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</si>
  <si>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</si>
  <si>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</si>
  <si>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</si>
  <si>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</si>
  <si>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</si>
  <si>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</si>
  <si>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</si>
  <si>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Round:</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</si>
  <si>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</si>
  <si>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</si>
  <si>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</si>
  <si>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</si>
  <si>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</si>
  <si>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</si>
  <si>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</si>
  <si>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</si>
  <si>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</si>
  <si>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</si>
  <si>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</si>
  <si>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</si>
  <si>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</si>
  <si>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</si>
  <si>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</si>
  <si>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</si>
  <si>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</si>
  <si>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</si>
  <si>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</si>
  <si>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</si>
  <si>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</si>
  <si>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</si>
  <si>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</si>
  <si>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</si>
  <si>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</si>
  <si>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</si>
  <si>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</si>
  <si>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</si>
  <si>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</si>
  <si>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</si>
  <si>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</si>
  <si>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</si>
  <si>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</si>
  <si>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</si>
  <si>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</si>
  <si>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</si>
  <si>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</si>
  <si>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1=Yes</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</si>
  <si>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</si>
  <si>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</si>
  <si>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</si>
  <si>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</si>
  <si>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</si>
  <si>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</si>
  <si>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</si>
  <si>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</si>
  <si>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</si>
  <si>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</si>
  <si>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</si>
  <si>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</si>
  <si>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</si>
  <si>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</si>
  <si>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</si>
  <si>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</si>
  <si>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</si>
  <si>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</si>
  <si>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</si>
  <si>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</si>
  <si>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</si>
  <si>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</si>
  <si>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</si>
  <si>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</si>
  <si>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</si>
  <si>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</si>
  <si>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</si>
  <si>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</si>
  <si>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</si>
  <si>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</si>
  <si>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</si>
  <si>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</si>
  <si>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</si>
  <si>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</si>
  <si>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</si>
  <si>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</si>
  <si>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</si>
  <si>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</si>
  <si>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</si>
  <si>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</si>
  <si>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</si>
  <si>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</si>
  <si>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</si>
  <si>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</si>
  <si>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</si>
  <si>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</si>
  <si>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</si>
  <si>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</si>
  <si>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</si>
  <si>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</si>
  <si>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</si>
  <si>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</si>
  <si>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</si>
  <si>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</si>
  <si>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</si>
  <si>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</si>
  <si>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</si>
  <si>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</si>
  <si>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</si>
  <si>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</si>
  <si>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</si>
  <si>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</si>
  <si>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</si>
  <si>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</si>
  <si>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</si>
  <si>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</si>
  <si>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</si>
  <si>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</si>
  <si>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</si>
  <si>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</si>
  <si>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</si>
  <si>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</si>
  <si>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</si>
  <si>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</si>
  <si>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</si>
  <si>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</si>
  <si>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</si>
  <si>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</si>
  <si>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</si>
  <si>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</si>
  <si>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</si>
  <si>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</si>
  <si>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</si>
  <si>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</si>
  <si>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</si>
  <si>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</si>
  <si>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</si>
  <si>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</si>
  <si>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</si>
  <si>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</si>
  <si>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</si>
  <si>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</si>
  <si>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</si>
  <si>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</si>
  <si>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</si>
  <si>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</si>
  <si>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</si>
  <si>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</si>
  <si>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</si>
  <si>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</si>
  <si>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</si>
  <si>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</si>
  <si>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</si>
  <si>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</si>
  <si>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</si>
  <si>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</si>
  <si>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</si>
  <si>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</si>
  <si>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</si>
  <si>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</si>
  <si>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</si>
  <si>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</si>
  <si>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</si>
  <si>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</si>
  <si>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</si>
  <si>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</si>
  <si>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</si>
  <si>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</si>
  <si>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</si>
  <si>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</si>
  <si>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</si>
  <si>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</si>
  <si>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</si>
  <si>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</si>
  <si>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</si>
  <si>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</si>
  <si>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</si>
  <si>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</si>
  <si>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</si>
  <si>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</si>
  <si>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</si>
  <si>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</si>
  <si>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</si>
  <si>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</si>
  <si>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</si>
  <si>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</si>
  <si>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</si>
  <si>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</si>
  <si>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</si>
  <si>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</si>
  <si>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</si>
  <si>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</si>
  <si>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</si>
  <si>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</si>
  <si>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</si>
  <si>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</si>
  <si>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</si>
  <si>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</si>
  <si>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</si>
  <si>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</si>
  <si>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</si>
  <si>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</si>
  <si>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</si>
  <si>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</si>
  <si>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</si>
  <si>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</si>
  <si>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</si>
  <si>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</si>
  <si>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</si>
  <si>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</si>
  <si>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</si>
  <si>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</si>
  <si>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</si>
  <si>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</si>
  <si>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</si>
  <si>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</si>
  <si>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</si>
  <si>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</si>
  <si>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</si>
  <si>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</si>
  <si>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</si>
  <si>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</si>
  <si>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</si>
  <si>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</si>
  <si>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</si>
  <si>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</si>
  <si>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</si>
  <si>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</si>
  <si>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</si>
  <si>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</si>
  <si>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</si>
  <si>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</si>
  <si>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</si>
  <si>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</si>
  <si>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</si>
  <si>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</si>
  <si>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</si>
  <si>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</si>
  <si>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</si>
  <si>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</si>
  <si>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</si>
  <si>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</si>
  <si>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</si>
  <si>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</si>
  <si>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</si>
  <si>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</si>
  <si>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</si>
  <si>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</si>
  <si>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</si>
  <si>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</si>
  <si>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</si>
  <si>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</si>
  <si>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</si>
  <si>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</si>
  <si>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</si>
  <si>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</si>
  <si>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</si>
  <si>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</si>
  <si>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</si>
  <si>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</si>
  <si>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</si>
  <si>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</si>
  <si>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</si>
  <si>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</si>
  <si>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</si>
  <si>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</si>
  <si>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</si>
  <si>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</si>
  <si>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</si>
  <si>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</si>
  <si>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</si>
  <si>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</si>
  <si>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</si>
  <si>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</si>
  <si>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</si>
  <si>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</si>
  <si>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</si>
  <si>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</si>
  <si>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</si>
  <si>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</si>
  <si>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</si>
  <si>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</si>
  <si>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Hearing loss was 
caused by:</t>
  </si>
  <si>
    <t>Occupational injury</t>
  </si>
  <si>
    <t>Occupational disease</t>
  </si>
  <si>
    <t>In an injury claim, an impairment award for hearing loss caused by presbycusis is reduced only if the presbycusis qualifies as a preexisting condition. OAR 436-035-0250(4)(b)</t>
  </si>
  <si>
    <t>Check box for either occupational disease or occupational injury.</t>
  </si>
  <si>
    <t>Permanent partial disability calculation for dates of injury before 1/1/2005: Use the calculation method (monaural or binaural) that results in the greater impairment.</t>
  </si>
  <si>
    <t>ERROR: You have entered baseline audiogram results. If this is a qualifying preexisting condition, check box above - below "Occupational injury."</t>
  </si>
  <si>
    <t>Presbycusis reduction (from table)</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</si>
  <si>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</si>
  <si>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</si>
  <si>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</si>
  <si>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</si>
  <si>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</si>
  <si>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</si>
  <si>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</si>
  <si>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</si>
  <si>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</si>
  <si>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</si>
  <si>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</si>
  <si>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</si>
  <si>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</si>
  <si>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</si>
  <si>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</si>
  <si>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</si>
  <si>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</si>
  <si>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</si>
  <si>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</si>
  <si>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</si>
  <si>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</si>
  <si>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</si>
  <si>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</si>
  <si>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</si>
  <si>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</si>
  <si>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</si>
  <si>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</si>
  <si>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</si>
  <si>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</si>
  <si>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</si>
  <si>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</si>
  <si>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</si>
  <si>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</si>
  <si>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</si>
  <si>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</si>
  <si>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</si>
  <si>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</si>
  <si>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</si>
  <si>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</si>
  <si>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</si>
  <si>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</si>
  <si>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Replacements:</t>
  </si>
  <si>
    <t>Removals: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</si>
  <si>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</si>
  <si>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</si>
  <si>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</si>
  <si>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</si>
  <si>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</si>
  <si>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</si>
  <si>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</si>
  <si>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</si>
  <si>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</si>
  <si>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</si>
  <si>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</si>
  <si>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</si>
  <si>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</si>
  <si>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 xml:space="preserve">   Male            Female</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</si>
  <si>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</si>
  <si>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</si>
  <si>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</si>
  <si>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</si>
  <si>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</si>
  <si>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</si>
  <si>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</si>
  <si>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</si>
  <si>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</si>
  <si>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</si>
  <si>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</si>
  <si>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</si>
  <si>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</si>
  <si>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</si>
  <si>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</si>
  <si>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</si>
  <si>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</si>
  <si>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</si>
  <si>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</si>
  <si>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</si>
  <si>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</si>
  <si>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</si>
  <si>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</si>
  <si>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</si>
  <si>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</si>
  <si>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</si>
  <si>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</si>
  <si>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</si>
  <si>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</si>
  <si>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</si>
  <si>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</si>
  <si>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</si>
  <si>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</si>
  <si>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Option button output
&gt;&gt;&gt;</t>
  </si>
  <si>
    <t>Adjusted hearing loss</t>
  </si>
  <si>
    <t>Adjust to minimum of 1%</t>
  </si>
  <si>
    <t>Counts of blank and zero audiogram findings</t>
  </si>
  <si>
    <t>Hip impairment includes ankylosis value, an irreversible finding - ROM is not apportioned.</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</si>
  <si>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</si>
  <si>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</si>
  <si>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</si>
  <si>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</si>
  <si>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</si>
  <si>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</si>
  <si>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</si>
  <si>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</si>
  <si>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If one of the joints of the thumb is ankylosed, apportionment of non-ankylosed joint, if any, is applied before combining.</t>
  </si>
  <si>
    <t>Apportionment:</t>
  </si>
  <si>
    <t>See above</t>
  </si>
  <si>
    <t>Total impairment, right hand/forearm:</t>
  </si>
  <si>
    <t>If one of the joints of the finger is ankylosed, apportionment of non-ankylosed joint, if any, is applied before combining.</t>
  </si>
  <si>
    <t>If one of the joints of the toe is ankylosed, apportionment of non-ankylosed joint, if any, is applied before combining.</t>
  </si>
  <si>
    <t>Summing and apportionment</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</si>
  <si>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</si>
  <si>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</si>
  <si>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</si>
  <si>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</si>
  <si>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0=Other irreversible findings</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</si>
  <si>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</si>
  <si>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</si>
  <si>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</si>
  <si>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</si>
  <si>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</si>
  <si>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</si>
  <si>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</si>
  <si>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</si>
  <si>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</si>
  <si>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</si>
  <si>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</si>
  <si>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</si>
  <si>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</si>
  <si>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</si>
  <si>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</si>
  <si>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</si>
  <si>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</si>
  <si>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</si>
  <si>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</si>
  <si>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</si>
  <si>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</si>
  <si>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</si>
  <si>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</si>
  <si>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</si>
  <si>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</si>
  <si>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</si>
  <si>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</si>
  <si>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</si>
  <si>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</si>
  <si>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</si>
  <si>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</si>
  <si>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</si>
  <si>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</si>
  <si>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</si>
  <si>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</si>
  <si>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</si>
  <si>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</si>
  <si>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</si>
  <si>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</si>
  <si>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</si>
  <si>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</si>
  <si>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</si>
  <si>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</si>
  <si>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</si>
  <si>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Presbycusis Correction Values Table</t>
  </si>
  <si>
    <t>Baseline audiogram age</t>
  </si>
  <si>
    <t>Current audiogram age</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</si>
  <si>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</si>
  <si>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</si>
  <si>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</si>
  <si>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</si>
  <si>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</si>
  <si>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</si>
  <si>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</si>
  <si>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</si>
  <si>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</si>
  <si>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</si>
  <si>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</si>
  <si>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</si>
  <si>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</si>
  <si>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</si>
  <si>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</si>
  <si>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Worker's name and claim no.</t>
  </si>
  <si>
    <t>Use this calculator only for claim closures occurring before 12/4/2022.</t>
  </si>
  <si>
    <t>Because the worker has returned or been released to regular work, age, education, and adaptability are not considered in calculating the award.</t>
  </si>
  <si>
    <t>Baseline R</t>
  </si>
  <si>
    <t>Baseline L</t>
  </si>
  <si>
    <t>Current R</t>
  </si>
  <si>
    <t>Current L</t>
  </si>
  <si>
    <t>Baseline findings are present without current findings.</t>
  </si>
  <si>
    <t>Steve Passantino, Appellate Review Unit manager</t>
  </si>
  <si>
    <t>503-509-6354</t>
  </si>
  <si>
    <t>Steve.s.passantino@dcbs.oregon.gov</t>
  </si>
  <si>
    <t>For questions, please contact:</t>
  </si>
  <si>
    <t xml:space="preserve">Chrisatina Scheungrab </t>
  </si>
  <si>
    <t>971-701-5134</t>
  </si>
  <si>
    <t>Christina.Scheungrab@dcbs.oregon.gov</t>
  </si>
  <si>
    <t>Click here to describe errors or problems below. Send copy of file to steve.s.passantino@dcbs.oregon.gov. Remove the injured worker's name from this file before sending. Thank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</si>
</sst>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m/d/yy"/>
    <numFmt numFmtId="172" formatCode="&quot;$&quot;#,##0"/>
  </numFmts>
  <fonts count="67"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b/>
      <sz val="8"/>
      <color indexed="10"/>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i/>
      <sz val="10"/>
      <color indexed="8"/>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10"/>
      <color rgb="FFFF0000"/>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722">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0" xfId="0" applyFont="1" applyAlignment="1" applyProtection="1">
      <alignment horizontal="left"/>
      <protection locked="0"/>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41" fillId="0" borderId="1" xfId="0" applyFont="1" applyBorder="1" applyAlignment="1">
      <alignment wrapText="1"/>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0" fontId="2" fillId="0" borderId="14" xfId="0" applyFont="1" applyBorder="1" applyAlignment="1">
      <alignment horizontal="right"/>
    </xf>
    <xf numFmtId="0" fontId="2" fillId="0" borderId="14" xfId="0" applyFont="1" applyBorder="1" applyAlignment="1">
      <alignment horizontal="left"/>
    </xf>
    <xf numFmtId="9" fontId="2" fillId="0" borderId="1" xfId="3" applyFont="1" applyFill="1" applyBorder="1" applyAlignment="1">
      <alignment horizontal="center"/>
    </xf>
    <xf numFmtId="0" fontId="45"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6"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2"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10" fontId="2" fillId="0" borderId="1" xfId="3" applyNumberFormat="1" applyFont="1" applyFill="1" applyBorder="1" applyAlignment="1">
      <alignment horizontal="center"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1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0" fontId="17" fillId="0" borderId="14"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2" fillId="0" borderId="4" xfId="0" applyFont="1" applyBorder="1"/>
    <xf numFmtId="0" fontId="52"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9" fontId="2" fillId="2" borderId="1" xfId="0" applyNumberFormat="1" applyFont="1" applyFill="1" applyBorder="1" applyAlignment="1">
      <alignment horizontal="center" wrapText="1"/>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0" fontId="2" fillId="0" borderId="16" xfId="0" applyFont="1" applyBorder="1" applyAlignment="1">
      <alignment horizontal="left"/>
    </xf>
    <xf numFmtId="0" fontId="2" fillId="0" borderId="10" xfId="0" applyFont="1" applyBorder="1" applyAlignment="1">
      <alignment horizontal="left"/>
    </xf>
    <xf numFmtId="9" fontId="60" fillId="0" borderId="14" xfId="0" applyNumberFormat="1" applyFont="1" applyBorder="1" applyAlignment="1">
      <alignment horizontal="left" wrapText="1"/>
    </xf>
    <xf numFmtId="9" fontId="60"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0" fontId="2" fillId="3" borderId="8" xfId="0" applyFont="1" applyFill="1" applyBorder="1" applyAlignment="1">
      <alignment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4"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left"/>
      <protection locked="0"/>
    </xf>
    <xf numFmtId="14" fontId="2" fillId="0" borderId="2" xfId="0" applyNumberFormat="1" applyFont="1" applyBorder="1" applyAlignment="1" applyProtection="1">
      <alignment horizontal="left"/>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2" fillId="2" borderId="8" xfId="3" applyFont="1" applyFill="1" applyBorder="1" applyAlignment="1"/>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0" fontId="21" fillId="0" borderId="13" xfId="0" applyFont="1" applyBorder="1"/>
    <xf numFmtId="0" fontId="21" fillId="0" borderId="15" xfId="0" applyFont="1" applyBorder="1"/>
    <xf numFmtId="164" fontId="2" fillId="0" borderId="1" xfId="3" applyNumberFormat="1" applyFont="1" applyBorder="1" applyAlignment="1"/>
    <xf numFmtId="164" fontId="2" fillId="0" borderId="1" xfId="3" applyNumberFormat="1" applyFont="1" applyBorder="1" applyAlignment="1">
      <alignment horizontal="right"/>
    </xf>
    <xf numFmtId="164" fontId="2" fillId="0" borderId="0" xfId="0" applyNumberFormat="1" applyFont="1"/>
    <xf numFmtId="164" fontId="2" fillId="0" borderId="2" xfId="3" applyNumberFormat="1" applyFont="1" applyBorder="1" applyAlignment="1">
      <alignment horizontal="right"/>
    </xf>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9" fontId="24" fillId="0" borderId="16" xfId="3" applyFont="1" applyBorder="1" applyAlignment="1">
      <alignment horizontal="left" wrapText="1"/>
    </xf>
    <xf numFmtId="9" fontId="24" fillId="0" borderId="10" xfId="3" applyFont="1" applyBorder="1" applyAlignment="1">
      <alignment horizontal="left"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0" fontId="2" fillId="0" borderId="10"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1" fontId="2" fillId="0" borderId="0" xfId="0" applyNumberFormat="1" applyFont="1" applyAlignment="1">
      <alignment wrapText="1"/>
    </xf>
    <xf numFmtId="167" fontId="2" fillId="0" borderId="1" xfId="0" applyNumberFormat="1" applyFont="1" applyBorder="1"/>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171" fontId="2" fillId="0" borderId="10" xfId="0" applyNumberFormat="1" applyFont="1" applyBorder="1" applyAlignment="1">
      <alignment horizontal="left"/>
    </xf>
    <xf numFmtId="14" fontId="2" fillId="0" borderId="10" xfId="0" applyNumberFormat="1" applyFont="1" applyBorder="1" applyAlignment="1">
      <alignment horizontal="left"/>
    </xf>
    <xf numFmtId="1" fontId="2" fillId="0" borderId="10" xfId="0" applyNumberFormat="1" applyFont="1" applyBorder="1" applyAlignment="1">
      <alignment horizontal="left"/>
    </xf>
    <xf numFmtId="0" fontId="3" fillId="0" borderId="1" xfId="0" applyFont="1" applyBorder="1" applyAlignment="1">
      <alignment vertical="center"/>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4" fillId="0" borderId="0" xfId="2" applyAlignment="1" applyProtection="1">
      <alignment vertical="center"/>
    </xf>
    <xf numFmtId="0" fontId="3" fillId="0" borderId="0" xfId="0" applyFont="1"/>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4" fillId="0" borderId="0" xfId="2" applyFill="1" applyBorder="1" applyAlignment="1" applyProtection="1">
      <alignment horizontal="left" wrapText="1"/>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3" fillId="0" borderId="14" xfId="0" applyFont="1" applyBorder="1" applyAlignment="1">
      <alignment vertical="center" wrapText="1"/>
    </xf>
    <xf numFmtId="0" fontId="53"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2" fontId="2" fillId="2" borderId="1" xfId="0" applyNumberFormat="1"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Alignment="1">
      <alignment horizontal="center" vertical="center"/>
    </xf>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0" fontId="2" fillId="3" borderId="1" xfId="0" applyFont="1" applyFill="1" applyBorder="1" applyAlignment="1" applyProtection="1">
      <alignment horizontal="left"/>
      <protection locked="0"/>
    </xf>
    <xf numFmtId="9" fontId="2" fillId="3" borderId="1" xfId="3" applyFont="1" applyFill="1" applyBorder="1" applyAlignment="1">
      <alignment horizontal="center"/>
    </xf>
    <xf numFmtId="10" fontId="2" fillId="3" borderId="1" xfId="3" applyNumberFormat="1" applyFont="1" applyFill="1" applyBorder="1" applyAlignment="1" applyProtection="1">
      <alignment horizontal="center"/>
      <protection locked="0"/>
    </xf>
    <xf numFmtId="9" fontId="2" fillId="2" borderId="1" xfId="3"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12" fillId="0" borderId="9" xfId="0" applyFont="1" applyBorder="1" applyAlignment="1">
      <alignment horizontal="center" wrapText="1"/>
    </xf>
    <xf numFmtId="0" fontId="0" fillId="0" borderId="6" xfId="0" applyBorder="1"/>
    <xf numFmtId="0" fontId="12" fillId="3" borderId="1" xfId="0" applyFont="1" applyFill="1" applyBorder="1" applyAlignment="1" applyProtection="1">
      <alignment horizontal="center" wrapText="1"/>
      <protection locked="0"/>
    </xf>
    <xf numFmtId="9" fontId="17" fillId="0" borderId="1" xfId="3" applyFont="1" applyBorder="1" applyAlignment="1">
      <alignment horizontal="center"/>
    </xf>
    <xf numFmtId="0" fontId="3" fillId="0" borderId="1" xfId="0" applyFont="1" applyBorder="1" applyAlignment="1">
      <alignment horizontal="center" wrapText="1"/>
    </xf>
    <xf numFmtId="164" fontId="2" fillId="2" borderId="1" xfId="3" applyNumberFormat="1" applyFont="1" applyFill="1" applyBorder="1" applyAlignment="1">
      <alignment horizontal="center"/>
    </xf>
    <xf numFmtId="0" fontId="24" fillId="0" borderId="1" xfId="0" applyFont="1" applyBorder="1" applyAlignment="1">
      <alignment horizontal="center" wrapText="1"/>
    </xf>
    <xf numFmtId="0" fontId="2" fillId="0" borderId="7" xfId="0" applyFont="1" applyBorder="1" applyAlignment="1">
      <alignment horizontal="left"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3"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10" fontId="2" fillId="3" borderId="8" xfId="3" applyNumberFormat="1" applyFont="1" applyFill="1" applyBorder="1" applyAlignment="1" applyProtection="1">
      <alignment horizontal="center"/>
      <protection locked="0"/>
    </xf>
    <xf numFmtId="9" fontId="2" fillId="0" borderId="0" xfId="3" applyFont="1" applyBorder="1" applyAlignment="1">
      <alignment horizontal="center"/>
    </xf>
    <xf numFmtId="0" fontId="51" fillId="0" borderId="11" xfId="0" applyFont="1" applyBorder="1" applyAlignment="1">
      <alignment horizontal="center" wrapText="1"/>
    </xf>
    <xf numFmtId="0" fontId="0" fillId="0" borderId="5" xfId="0" applyBorder="1"/>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1" xfId="0" applyFont="1" applyBorder="1" applyAlignment="1">
      <alignment horizontal="center" wrapText="1"/>
    </xf>
    <xf numFmtId="0" fontId="12" fillId="0" borderId="1" xfId="0" applyFont="1" applyBorder="1" applyAlignment="1">
      <alignment horizontal="left"/>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9" fontId="17" fillId="0" borderId="0" xfId="3" applyFont="1" applyFill="1" applyBorder="1" applyAlignment="1">
      <alignment horizontal="center"/>
    </xf>
    <xf numFmtId="16" fontId="12" fillId="0" borderId="13" xfId="0" applyNumberFormat="1" applyFont="1" applyBorder="1" applyAlignment="1">
      <alignment horizontal="center" wrapText="1"/>
    </xf>
    <xf numFmtId="0" fontId="0" fillId="0" borderId="4" xfId="0" applyBorder="1"/>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11" xfId="0" applyFont="1" applyBorder="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9" fontId="2" fillId="2" borderId="7" xfId="3" applyFont="1" applyFill="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9" fontId="2" fillId="2" borderId="2" xfId="0" applyNumberFormat="1" applyFont="1" applyFill="1" applyBorder="1" applyAlignment="1">
      <alignment horizontal="center"/>
    </xf>
    <xf numFmtId="0" fontId="2" fillId="2" borderId="2" xfId="0" applyFont="1" applyFill="1" applyBorder="1" applyAlignment="1">
      <alignment horizontal="center"/>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12" fillId="0" borderId="8" xfId="0" applyFont="1" applyBorder="1" applyAlignment="1">
      <alignment horizontal="center" wrapText="1"/>
    </xf>
    <xf numFmtId="0" fontId="0" fillId="0" borderId="10" xfId="0" applyBorder="1"/>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10" fontId="2" fillId="3" borderId="7" xfId="3" applyNumberFormat="1" applyFont="1" applyFill="1" applyBorder="1" applyAlignment="1" applyProtection="1">
      <alignment horizontal="center"/>
      <protection locked="0"/>
    </xf>
    <xf numFmtId="9" fontId="2" fillId="2" borderId="14" xfId="0" applyNumberFormat="1" applyFont="1" applyFill="1" applyBorder="1" applyAlignment="1">
      <alignment horizontal="center"/>
    </xf>
    <xf numFmtId="0" fontId="51" fillId="0" borderId="13" xfId="0" applyFont="1" applyBorder="1" applyAlignment="1">
      <alignment horizontal="center" wrapText="1"/>
    </xf>
    <xf numFmtId="0" fontId="12" fillId="0" borderId="13" xfId="0" applyFont="1" applyBorder="1" applyAlignment="1">
      <alignment horizontal="center" wrapText="1"/>
    </xf>
    <xf numFmtId="0" fontId="51" fillId="0" borderId="9" xfId="0" applyFont="1" applyBorder="1" applyAlignment="1">
      <alignment horizontal="center" wrapText="1"/>
    </xf>
    <xf numFmtId="0" fontId="2" fillId="3" borderId="1" xfId="0" applyFont="1" applyFill="1" applyBorder="1" applyAlignment="1" applyProtection="1">
      <alignment horizontal="left" wrapText="1"/>
      <protection locked="0"/>
    </xf>
    <xf numFmtId="9" fontId="2" fillId="5" borderId="7" xfId="0" applyNumberFormat="1" applyFont="1" applyFill="1" applyBorder="1" applyAlignment="1">
      <alignment horizontal="center"/>
    </xf>
    <xf numFmtId="0" fontId="12" fillId="3" borderId="7" xfId="0" applyFont="1" applyFill="1" applyBorder="1" applyAlignment="1" applyProtection="1">
      <alignment horizontal="center" wrapText="1"/>
      <protection locked="0"/>
    </xf>
    <xf numFmtId="0" fontId="15" fillId="0" borderId="1" xfId="2" applyFont="1" applyBorder="1" applyAlignment="1" applyProtection="1">
      <alignment horizontal="center" wrapText="1"/>
    </xf>
    <xf numFmtId="0" fontId="2" fillId="3" borderId="1" xfId="0" applyFont="1" applyFill="1" applyBorder="1" applyAlignment="1" applyProtection="1">
      <alignment horizontal="center" wrapText="1"/>
      <protection locked="0"/>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10" xfId="0" applyFont="1" applyFill="1" applyBorder="1" applyAlignment="1">
      <alignment horizontal="center"/>
    </xf>
    <xf numFmtId="0" fontId="2" fillId="3" borderId="1" xfId="0"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12" fillId="3" borderId="1" xfId="0" applyFont="1" applyFill="1" applyBorder="1" applyAlignment="1" applyProtection="1">
      <alignment horizontal="center"/>
      <protection locked="0"/>
    </xf>
    <xf numFmtId="9" fontId="2" fillId="0" borderId="1" xfId="3" applyFont="1" applyFill="1" applyBorder="1" applyAlignment="1">
      <alignment horizontal="center"/>
    </xf>
    <xf numFmtId="9" fontId="2" fillId="3" borderId="1" xfId="3" applyFont="1" applyFill="1" applyBorder="1" applyAlignment="1" applyProtection="1">
      <alignment horizontal="center"/>
      <protection locked="0"/>
    </xf>
    <xf numFmtId="0" fontId="10" fillId="0" borderId="1" xfId="0" applyFont="1" applyBorder="1" applyAlignment="1">
      <alignment horizontal="center" wrapText="1"/>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0" fillId="0" borderId="8" xfId="0" applyFont="1" applyBorder="1" applyAlignment="1">
      <alignment horizontal="center" wrapText="1"/>
    </xf>
    <xf numFmtId="0" fontId="0" fillId="0" borderId="16" xfId="0" applyBorder="1"/>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44" fontId="2" fillId="2" borderId="1" xfId="1" applyFont="1" applyFill="1" applyBorder="1" applyAlignment="1">
      <alignment horizontal="center"/>
    </xf>
    <xf numFmtId="9" fontId="2" fillId="0" borderId="1" xfId="3" applyFont="1" applyBorder="1" applyAlignment="1">
      <alignment horizontal="center"/>
    </xf>
    <xf numFmtId="166" fontId="2" fillId="2" borderId="1" xfId="0" applyNumberFormat="1" applyFont="1" applyFill="1" applyBorder="1" applyAlignment="1">
      <alignment horizontal="center"/>
    </xf>
    <xf numFmtId="0" fontId="2" fillId="0" borderId="7" xfId="0" applyFont="1" applyBorder="1" applyAlignment="1">
      <alignment wrapText="1"/>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17" fillId="0" borderId="0" xfId="0" applyFont="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0" fontId="24" fillId="0" borderId="1" xfId="0" applyFont="1" applyBorder="1" applyAlignment="1">
      <alignment horizontal="left" wrapText="1"/>
    </xf>
    <xf numFmtId="9" fontId="2" fillId="0" borderId="2" xfId="3" applyFont="1" applyBorder="1" applyAlignment="1">
      <alignment horizontal="righ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 fillId="0" borderId="2" xfId="0" applyFont="1" applyBorder="1" applyAlignment="1">
      <alignment horizontal="righ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9" fontId="54" fillId="0" borderId="7" xfId="3" applyFont="1" applyFill="1" applyBorder="1" applyAlignment="1">
      <alignment horizontal="center" wrapText="1"/>
    </xf>
    <xf numFmtId="9" fontId="54" fillId="0" borderId="14" xfId="3" applyFont="1" applyFill="1" applyBorder="1" applyAlignment="1">
      <alignment horizontal="center" wrapText="1"/>
    </xf>
    <xf numFmtId="9" fontId="54" fillId="0" borderId="2" xfId="3" applyFont="1" applyFill="1" applyBorder="1" applyAlignment="1">
      <alignment horizontal="center" wrapText="1"/>
    </xf>
    <xf numFmtId="0" fontId="12" fillId="0" borderId="6" xfId="0" applyFont="1" applyBorder="1" applyAlignment="1">
      <alignment horizontal="center" wrapText="1"/>
    </xf>
    <xf numFmtId="0" fontId="51" fillId="0" borderId="4" xfId="0" applyFont="1" applyBorder="1" applyAlignment="1">
      <alignment horizontal="center" wrapText="1"/>
    </xf>
    <xf numFmtId="0" fontId="12" fillId="0" borderId="5" xfId="0" applyFont="1" applyBorder="1" applyAlignment="1">
      <alignment horizontal="center" wrapText="1"/>
    </xf>
    <xf numFmtId="0" fontId="51" fillId="0" borderId="5" xfId="0" applyFont="1" applyBorder="1" applyAlignment="1">
      <alignment horizontal="center" wrapText="1"/>
    </xf>
    <xf numFmtId="0" fontId="51" fillId="0" borderId="6" xfId="0" applyFont="1" applyBorder="1" applyAlignment="1">
      <alignment horizontal="center" wrapText="1"/>
    </xf>
    <xf numFmtId="9" fontId="2" fillId="0" borderId="1" xfId="3" applyFont="1" applyFill="1" applyBorder="1" applyAlignment="1">
      <alignment horizontal="left" wrapText="1"/>
    </xf>
    <xf numFmtId="9" fontId="17" fillId="0" borderId="8" xfId="3" applyFont="1" applyBorder="1" applyAlignment="1">
      <alignment horizontal="center"/>
    </xf>
    <xf numFmtId="9" fontId="2" fillId="0" borderId="7" xfId="3" applyFont="1" applyFill="1" applyBorder="1" applyAlignment="1">
      <alignment horizontal="center"/>
    </xf>
    <xf numFmtId="9" fontId="2" fillId="0" borderId="2" xfId="3" applyFont="1" applyFill="1" applyBorder="1" applyAlignment="1">
      <alignment horizontal="center"/>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12" fillId="0" borderId="4" xfId="0" applyFont="1" applyBorder="1" applyAlignment="1">
      <alignment horizontal="center" wrapText="1"/>
    </xf>
    <xf numFmtId="9" fontId="2" fillId="2" borderId="13" xfId="0" applyNumberFormat="1" applyFont="1" applyFill="1" applyBorder="1" applyAlignment="1">
      <alignment horizontal="center"/>
    </xf>
    <xf numFmtId="16" fontId="12" fillId="0" borderId="4" xfId="0" applyNumberFormat="1" applyFont="1" applyBorder="1" applyAlignment="1">
      <alignment horizontal="center" wrapText="1"/>
    </xf>
    <xf numFmtId="9" fontId="2" fillId="2" borderId="14" xfId="3" applyFont="1" applyFill="1" applyBorder="1" applyAlignment="1">
      <alignment horizontal="center"/>
    </xf>
    <xf numFmtId="9" fontId="2" fillId="2" borderId="2" xfId="3" applyFont="1" applyFill="1" applyBorder="1" applyAlignment="1">
      <alignment horizontal="center"/>
    </xf>
    <xf numFmtId="0" fontId="2" fillId="3" borderId="8" xfId="0" applyFont="1" applyFill="1" applyBorder="1" applyAlignment="1">
      <alignment horizontal="center"/>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6" xfId="0" applyFont="1" applyBorder="1" applyAlignment="1">
      <alignment horizontal="center" vertical="center" wrapText="1"/>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9" fontId="2" fillId="2" borderId="0" xfId="0" applyNumberFormat="1" applyFont="1" applyFill="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0" fontId="8" fillId="0" borderId="1" xfId="0" applyFont="1" applyBorder="1" applyAlignment="1">
      <alignment horizontal="center"/>
    </xf>
    <xf numFmtId="164" fontId="2" fillId="2" borderId="2" xfId="3" applyNumberFormat="1" applyFont="1" applyFill="1" applyBorder="1" applyAlignment="1">
      <alignment horizontal="center"/>
    </xf>
    <xf numFmtId="164" fontId="2" fillId="2" borderId="2" xfId="0" applyNumberFormat="1" applyFont="1" applyFill="1" applyBorder="1" applyAlignment="1">
      <alignment horizontal="center"/>
    </xf>
    <xf numFmtId="0" fontId="2" fillId="0" borderId="9" xfId="0"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0" fontId="2" fillId="0" borderId="12" xfId="0" applyFont="1" applyBorder="1" applyAlignment="1">
      <alignment horizontal="center"/>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9" fontId="55" fillId="0" borderId="9" xfId="3" applyFont="1" applyBorder="1" applyAlignment="1">
      <alignment horizontal="center"/>
    </xf>
    <xf numFmtId="9" fontId="55" fillId="0" borderId="12" xfId="3" applyFont="1" applyBorder="1" applyAlignment="1">
      <alignment horizontal="center"/>
    </xf>
    <xf numFmtId="9" fontId="55" fillId="0" borderId="6" xfId="3" applyFont="1" applyBorder="1" applyAlignment="1">
      <alignment horizontal="center"/>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8" fillId="0" borderId="8" xfId="0" applyFont="1" applyBorder="1" applyAlignment="1">
      <alignment horizontal="center"/>
    </xf>
    <xf numFmtId="0" fontId="8" fillId="0" borderId="10" xfId="0" applyFont="1" applyBorder="1" applyAlignment="1">
      <alignment horizontal="center"/>
    </xf>
    <xf numFmtId="0" fontId="16" fillId="0" borderId="10" xfId="0" applyFont="1" applyBorder="1" applyAlignment="1">
      <alignment horizontal="center"/>
    </xf>
    <xf numFmtId="0" fontId="17" fillId="0" borderId="1" xfId="0" applyFont="1" applyBorder="1" applyAlignment="1">
      <alignment horizontal="left" wrapText="1"/>
    </xf>
    <xf numFmtId="0" fontId="3" fillId="0" borderId="16" xfId="0" applyFont="1" applyBorder="1"/>
    <xf numFmtId="0" fontId="3" fillId="0" borderId="10" xfId="0" applyFont="1" applyBorder="1"/>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0" fontId="21" fillId="0" borderId="0" xfId="0" applyFont="1" applyAlignment="1">
      <alignment horizontal="center"/>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2" xfId="0" applyFont="1" applyBorder="1" applyAlignment="1">
      <alignment horizontal="left" wrapText="1"/>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9" fontId="24" fillId="0" borderId="1" xfId="3"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2" xfId="0" applyFont="1" applyBorder="1" applyAlignment="1">
      <alignment horizontal="center" wrapText="1"/>
    </xf>
    <xf numFmtId="0" fontId="10" fillId="0" borderId="1" xfId="0" applyFont="1" applyBorder="1" applyAlignment="1">
      <alignment horizontal="center" vertical="center" wrapText="1"/>
    </xf>
    <xf numFmtId="0" fontId="2" fillId="0" borderId="1" xfId="0" applyFont="1" applyBorder="1" applyAlignment="1">
      <alignment horizontal="right" wrapText="1" indent="1"/>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right" wrapText="1"/>
    </xf>
    <xf numFmtId="0" fontId="5" fillId="0" borderId="1" xfId="0" applyFont="1" applyBorder="1" applyAlignment="1">
      <alignment horizontal="center" wrapText="1"/>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0" fontId="2" fillId="0" borderId="22" xfId="0" applyFont="1" applyBorder="1" applyAlignment="1">
      <alignment horizontal="left"/>
    </xf>
    <xf numFmtId="0" fontId="2" fillId="0" borderId="21" xfId="0" applyFont="1" applyBorder="1" applyAlignment="1">
      <alignment horizontal="left"/>
    </xf>
    <xf numFmtId="9" fontId="2" fillId="2" borderId="1" xfId="0" applyNumberFormat="1" applyFont="1" applyFill="1" applyBorder="1" applyAlignment="1">
      <alignment horizontal="center"/>
    </xf>
    <xf numFmtId="0" fontId="66" fillId="0" borderId="1" xfId="0" applyFont="1" applyBorder="1" applyAlignment="1">
      <alignment horizontal="center" vertical="center" wrapText="1"/>
    </xf>
    <xf numFmtId="0" fontId="2" fillId="0" borderId="7" xfId="0" applyFont="1" applyBorder="1" applyAlignment="1">
      <alignment horizont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Alignment="1">
      <alignment horizontal="center"/>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9" fontId="28" fillId="0" borderId="1" xfId="3" applyFont="1" applyBorder="1" applyAlignment="1">
      <alignment horizontal="center"/>
    </xf>
    <xf numFmtId="0" fontId="12" fillId="0" borderId="1" xfId="0" applyFont="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8" fillId="0" borderId="16" xfId="0" applyFont="1" applyBorder="1" applyAlignment="1">
      <alignment horizontal="center"/>
    </xf>
    <xf numFmtId="0" fontId="2" fillId="0" borderId="14" xfId="0" applyFont="1" applyBorder="1" applyAlignment="1">
      <alignment horizontal="center" wrapText="1"/>
    </xf>
    <xf numFmtId="9" fontId="2" fillId="0" borderId="1" xfId="3" applyFont="1" applyBorder="1" applyAlignment="1">
      <alignment horizontal="left" wrapText="1"/>
    </xf>
    <xf numFmtId="0" fontId="12" fillId="0" borderId="7" xfId="0" applyFont="1" applyBorder="1" applyAlignment="1">
      <alignment horizontal="left" wrapText="1"/>
    </xf>
    <xf numFmtId="0" fontId="12" fillId="0" borderId="2" xfId="0" applyFont="1" applyBorder="1" applyAlignment="1">
      <alignment horizontal="left"/>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8" xfId="0" applyFont="1" applyBorder="1"/>
    <xf numFmtId="0" fontId="2" fillId="0" borderId="16" xfId="0" applyFont="1" applyBorder="1"/>
    <xf numFmtId="0" fontId="2" fillId="0" borderId="10" xfId="0" applyFont="1" applyBorder="1"/>
    <xf numFmtId="9" fontId="2" fillId="2" borderId="4" xfId="0" applyNumberFormat="1" applyFont="1" applyFill="1" applyBorder="1" applyAlignment="1">
      <alignment horizontal="center"/>
    </xf>
    <xf numFmtId="9" fontId="2" fillId="2" borderId="1" xfId="3" applyFont="1" applyFill="1" applyBorder="1" applyAlignment="1">
      <alignment horizontal="center" wrapText="1"/>
    </xf>
    <xf numFmtId="0" fontId="12" fillId="0" borderId="1" xfId="0" applyFont="1" applyBorder="1" applyAlignment="1">
      <alignment horizontal="center"/>
    </xf>
    <xf numFmtId="9" fontId="12" fillId="2" borderId="1" xfId="0" applyNumberFormat="1" applyFont="1" applyFill="1" applyBorder="1" applyAlignment="1">
      <alignment horizontal="center"/>
    </xf>
    <xf numFmtId="0" fontId="12" fillId="2" borderId="1" xfId="0" applyFont="1" applyFill="1" applyBorder="1" applyAlignment="1">
      <alignment horizontal="center"/>
    </xf>
    <xf numFmtId="9" fontId="2" fillId="0" borderId="8" xfId="0" applyNumberFormat="1" applyFont="1" applyBorder="1" applyAlignment="1">
      <alignment horizontal="center"/>
    </xf>
    <xf numFmtId="9" fontId="2" fillId="2" borderId="8" xfId="3" applyFont="1" applyFill="1" applyBorder="1" applyAlignment="1">
      <alignment horizontal="center" wrapText="1"/>
    </xf>
    <xf numFmtId="9" fontId="2" fillId="0" borderId="10" xfId="0" applyNumberFormat="1" applyFont="1" applyBorder="1" applyAlignment="1">
      <alignment horizontal="center"/>
    </xf>
    <xf numFmtId="0" fontId="13" fillId="0" borderId="0" xfId="0" applyFont="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0" fontId="12" fillId="0" borderId="7" xfId="0" applyFont="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164" fontId="2" fillId="2" borderId="1" xfId="0" applyNumberFormat="1" applyFont="1" applyFill="1" applyBorder="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Alignment="1">
      <alignment horizontal="center"/>
    </xf>
    <xf numFmtId="0" fontId="13" fillId="0" borderId="0" xfId="0" applyFont="1" applyAlignment="1">
      <alignment horizontal="center"/>
    </xf>
    <xf numFmtId="0" fontId="2" fillId="3" borderId="16" xfId="0" applyFont="1" applyFill="1" applyBorder="1" applyAlignment="1">
      <alignment horizontal="center"/>
    </xf>
    <xf numFmtId="0" fontId="20" fillId="0" borderId="1" xfId="0" applyFont="1" applyBorder="1" applyAlignment="1">
      <alignment horizontal="center"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0" fontId="12" fillId="0" borderId="1"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9" fontId="2" fillId="0" borderId="1" xfId="3" applyFont="1" applyBorder="1" applyAlignment="1">
      <alignment horizontal="left"/>
    </xf>
    <xf numFmtId="0" fontId="12" fillId="0" borderId="9" xfId="0" applyFont="1" applyBorder="1" applyAlignment="1">
      <alignment horizontal="left"/>
    </xf>
    <xf numFmtId="0" fontId="12" fillId="0" borderId="12" xfId="0" applyFont="1" applyBorder="1" applyAlignment="1">
      <alignment horizontal="left"/>
    </xf>
    <xf numFmtId="0" fontId="2" fillId="0" borderId="13" xfId="0" applyFont="1" applyBorder="1"/>
    <xf numFmtId="0" fontId="2" fillId="0" borderId="15" xfId="0" applyFont="1" applyBorder="1"/>
    <xf numFmtId="0" fontId="2" fillId="0" borderId="4" xfId="0" applyFont="1" applyBorder="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Alignment="1">
      <alignment horizontal="center"/>
    </xf>
    <xf numFmtId="0" fontId="2" fillId="0" borderId="1" xfId="0" applyFont="1" applyBorder="1" applyProtection="1">
      <protection locked="0"/>
    </xf>
    <xf numFmtId="9" fontId="14" fillId="0" borderId="1" xfId="3" applyFont="1" applyFill="1" applyBorder="1" applyAlignment="1">
      <alignment horizontal="center" wrapText="1"/>
    </xf>
    <xf numFmtId="0" fontId="12" fillId="0" borderId="6" xfId="0" applyFont="1" applyBorder="1" applyAlignment="1">
      <alignment horizontal="left"/>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wrapText="1"/>
    </xf>
    <xf numFmtId="0" fontId="18" fillId="0" borderId="0" xfId="0" applyFont="1" applyAlignment="1">
      <alignment horizontal="center" wrapText="1"/>
    </xf>
    <xf numFmtId="0" fontId="8" fillId="0" borderId="1" xfId="0" applyFont="1" applyBorder="1" applyAlignment="1">
      <alignment horizontal="center" wrapText="1"/>
    </xf>
    <xf numFmtId="9" fontId="23" fillId="0" borderId="0" xfId="3" applyFont="1" applyFill="1" applyBorder="1" applyAlignment="1">
      <alignment horizontal="center"/>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0" fontId="21" fillId="0" borderId="1" xfId="0" applyFont="1" applyBorder="1" applyAlignment="1">
      <alignment horizontal="center" wrapText="1"/>
    </xf>
    <xf numFmtId="0" fontId="21" fillId="0" borderId="7" xfId="0" applyFont="1" applyBorder="1" applyAlignment="1">
      <alignment horizontal="center" wrapText="1"/>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0" xfId="3" applyFont="1" applyFill="1" applyBorder="1" applyAlignment="1">
      <alignment horizontal="left" wrapText="1"/>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2" xfId="0" applyFont="1" applyFill="1" applyBorder="1" applyAlignment="1" applyProtection="1">
      <alignment horizontal="center" wrapText="1"/>
      <protection locked="0"/>
    </xf>
    <xf numFmtId="0" fontId="2" fillId="3" borderId="16" xfId="0" applyFont="1" applyFill="1" applyBorder="1" applyAlignment="1" applyProtection="1">
      <alignment horizontal="center" wrapText="1"/>
      <protection locked="0"/>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10" xfId="0" applyFont="1" applyFill="1" applyBorder="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6" fillId="0" borderId="1" xfId="0" applyFont="1" applyBorder="1" applyAlignment="1">
      <alignment horizontal="center" wrapText="1"/>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9" fontId="24" fillId="2" borderId="1" xfId="3" applyFont="1" applyFill="1" applyBorder="1" applyAlignment="1">
      <alignment horizontal="center" wrapText="1"/>
    </xf>
    <xf numFmtId="0" fontId="30" fillId="0" borderId="8" xfId="0" applyFont="1" applyBorder="1" applyAlignment="1">
      <alignment horizontal="center"/>
    </xf>
    <xf numFmtId="0" fontId="30" fillId="0" borderId="16" xfId="0" applyFont="1" applyBorder="1" applyAlignment="1">
      <alignment horizontal="center"/>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0" fontId="8" fillId="0" borderId="10" xfId="0" applyFont="1" applyBorder="1" applyAlignment="1">
      <alignment horizontal="left" wrapText="1"/>
    </xf>
    <xf numFmtId="0" fontId="8" fillId="0" borderId="1" xfId="0" applyFont="1" applyBorder="1" applyAlignment="1">
      <alignment horizontal="left" wrapText="1"/>
    </xf>
    <xf numFmtId="166" fontId="2" fillId="0" borderId="1" xfId="0" applyNumberFormat="1" applyFont="1" applyBorder="1" applyAlignment="1">
      <alignment horizontal="center"/>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0" fontId="8" fillId="0" borderId="8" xfId="0" applyFont="1" applyBorder="1" applyAlignment="1">
      <alignment horizontal="left" wrapText="1"/>
    </xf>
    <xf numFmtId="0" fontId="29" fillId="0" borderId="7" xfId="0" applyFont="1" applyBorder="1" applyAlignment="1">
      <alignment horizontal="left" wrapText="1"/>
    </xf>
    <xf numFmtId="0" fontId="29" fillId="0" borderId="14" xfId="0" applyFont="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10" fontId="2" fillId="2" borderId="1" xfId="1" applyNumberFormat="1" applyFont="1" applyFill="1" applyBorder="1" applyAlignment="1">
      <alignment horizontal="center"/>
    </xf>
    <xf numFmtId="2" fontId="12" fillId="2" borderId="1" xfId="0" applyNumberFormat="1" applyFont="1" applyFill="1" applyBorder="1" applyAlignment="1">
      <alignment horizontal="center"/>
    </xf>
    <xf numFmtId="44" fontId="12" fillId="2" borderId="1" xfId="1" applyFont="1" applyFill="1" applyBorder="1" applyAlignment="1">
      <alignment horizontal="center"/>
    </xf>
    <xf numFmtId="44" fontId="12" fillId="2" borderId="1" xfId="0" applyNumberFormat="1" applyFont="1" applyFill="1" applyBorder="1" applyAlignment="1">
      <alignment horizontal="center"/>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7" fillId="0" borderId="5" xfId="0" applyFont="1" applyBorder="1" applyAlignment="1">
      <alignment horizontal="center"/>
    </xf>
    <xf numFmtId="0" fontId="4" fillId="0" borderId="0" xfId="2" applyFill="1" applyBorder="1" applyAlignment="1" applyProtection="1">
      <alignment horizontal="center"/>
    </xf>
    <xf numFmtId="0" fontId="12" fillId="0" borderId="1" xfId="0" applyFont="1" applyBorder="1" applyAlignment="1">
      <alignment horizontal="center"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9" fontId="2" fillId="0" borderId="9" xfId="0" applyNumberFormat="1" applyFont="1" applyBorder="1" applyAlignment="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2" fillId="0" borderId="12" xfId="0" applyFont="1" applyBorder="1" applyAlignment="1">
      <alignment horizontal="left" wrapText="1"/>
    </xf>
    <xf numFmtId="0" fontId="2" fillId="3" borderId="8" xfId="0" applyFont="1" applyFill="1" applyBorder="1"/>
    <xf numFmtId="0" fontId="2" fillId="3" borderId="16" xfId="0" applyFont="1" applyFill="1" applyBorder="1"/>
    <xf numFmtId="0" fontId="2" fillId="3" borderId="10" xfId="0" applyFont="1" applyFill="1" applyBorder="1"/>
    <xf numFmtId="9" fontId="2" fillId="0" borderId="16" xfId="0" applyNumberFormat="1" applyFont="1" applyBorder="1" applyAlignment="1">
      <alignment horizontal="center"/>
    </xf>
    <xf numFmtId="0" fontId="29" fillId="0" borderId="1" xfId="0" applyFont="1" applyBorder="1" applyAlignment="1">
      <alignment horizontal="left" wrapText="1"/>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9" fontId="12" fillId="2" borderId="1" xfId="3" applyFont="1" applyFill="1" applyBorder="1" applyAlignment="1">
      <alignment horizontal="center" wrapText="1"/>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14" fillId="0" borderId="25" xfId="0" applyFont="1" applyBorder="1" applyAlignment="1">
      <alignment horizontal="center"/>
    </xf>
    <xf numFmtId="0" fontId="50" fillId="0" borderId="8" xfId="0" applyFont="1" applyBorder="1" applyAlignment="1">
      <alignment horizontal="center" wrapText="1"/>
    </xf>
    <xf numFmtId="0" fontId="50" fillId="0" borderId="10" xfId="0" applyFont="1" applyBorder="1" applyAlignment="1">
      <alignment horizontal="center" wrapText="1"/>
    </xf>
    <xf numFmtId="9" fontId="2" fillId="3" borderId="16" xfId="3" applyFont="1" applyFill="1" applyBorder="1" applyAlignment="1">
      <alignment horizontal="center"/>
    </xf>
    <xf numFmtId="0" fontId="47" fillId="0" borderId="8" xfId="0" applyFont="1" applyBorder="1" applyAlignment="1">
      <alignment horizontal="left" wrapText="1"/>
    </xf>
    <xf numFmtId="0" fontId="47" fillId="0" borderId="16" xfId="0" applyFont="1" applyBorder="1" applyAlignment="1">
      <alignment horizontal="left" wrapText="1"/>
    </xf>
    <xf numFmtId="0" fontId="47" fillId="0" borderId="10" xfId="0" applyFont="1" applyBorder="1" applyAlignment="1">
      <alignment horizontal="left" wrapText="1"/>
    </xf>
    <xf numFmtId="9" fontId="2" fillId="0" borderId="2" xfId="3" applyFont="1" applyBorder="1" applyAlignment="1">
      <alignment horizontal="left" wrapText="1"/>
    </xf>
    <xf numFmtId="0" fontId="18" fillId="0" borderId="21" xfId="0" applyFont="1" applyBorder="1" applyAlignment="1">
      <alignment horizontal="center" wrapText="1"/>
    </xf>
    <xf numFmtId="9" fontId="2" fillId="2" borderId="6" xfId="0" applyNumberFormat="1" applyFont="1" applyFill="1" applyBorder="1" applyAlignment="1">
      <alignment horizontal="center"/>
    </xf>
    <xf numFmtId="0" fontId="2" fillId="0" borderId="1" xfId="0" applyFont="1" applyBorder="1" applyAlignment="1">
      <alignment horizontal="left" indent="1"/>
    </xf>
    <xf numFmtId="9" fontId="2" fillId="0" borderId="13" xfId="0" applyNumberFormat="1" applyFont="1" applyBorder="1" applyAlignment="1">
      <alignment horizontal="center"/>
    </xf>
    <xf numFmtId="0" fontId="2" fillId="0" borderId="1" xfId="0" applyFont="1" applyBorder="1" applyAlignment="1" applyProtection="1">
      <alignment horizontal="left"/>
      <protection locked="0"/>
    </xf>
    <xf numFmtId="0" fontId="48" fillId="4" borderId="8" xfId="0" applyFont="1" applyFill="1" applyBorder="1" applyAlignment="1">
      <alignment horizontal="center" wrapText="1"/>
    </xf>
    <xf numFmtId="0" fontId="48" fillId="4" borderId="16" xfId="0" applyFont="1" applyFill="1" applyBorder="1" applyAlignment="1">
      <alignment horizontal="center"/>
    </xf>
    <xf numFmtId="0" fontId="48" fillId="4" borderId="10" xfId="0" applyFont="1" applyFill="1" applyBorder="1" applyAlignment="1">
      <alignment horizontal="center"/>
    </xf>
    <xf numFmtId="0" fontId="2" fillId="2" borderId="1" xfId="0" applyFont="1" applyFill="1" applyBorder="1" applyAlignment="1">
      <alignment horizontal="center" wrapText="1"/>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1" xfId="0" applyNumberFormat="1" applyFont="1" applyFill="1" applyBorder="1" applyAlignment="1">
      <alignment horizontal="center" wrapText="1"/>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3" fillId="0" borderId="1" xfId="0" applyFont="1" applyBorder="1" applyAlignment="1">
      <alignment horizontal="right" wrapText="1"/>
    </xf>
    <xf numFmtId="0" fontId="2" fillId="0" borderId="1" xfId="0" applyFont="1" applyBorder="1" applyAlignment="1">
      <alignment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9" fontId="2" fillId="2" borderId="1" xfId="0"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44" fontId="2" fillId="2" borderId="10"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13" xfId="0" applyFont="1" applyBorder="1" applyAlignment="1">
      <alignment horizontal="left" vertical="center" wrapText="1"/>
    </xf>
    <xf numFmtId="0" fontId="17" fillId="0" borderId="4" xfId="0" applyFont="1" applyBorder="1" applyAlignment="1">
      <alignment horizontal="left" vertical="center" wrapText="1"/>
    </xf>
    <xf numFmtId="0" fontId="17" fillId="0" borderId="11" xfId="0" applyFont="1" applyBorder="1" applyAlignment="1">
      <alignment horizontal="left" vertical="center" wrapText="1"/>
    </xf>
    <xf numFmtId="0" fontId="17" fillId="0" borderId="5" xfId="0" applyFont="1" applyBorder="1" applyAlignment="1">
      <alignment horizontal="left" vertical="center" wrapText="1"/>
    </xf>
    <xf numFmtId="0" fontId="17" fillId="0" borderId="9" xfId="0" applyFont="1" applyBorder="1" applyAlignment="1">
      <alignment horizontal="left" vertical="center" wrapText="1"/>
    </xf>
    <xf numFmtId="0" fontId="17" fillId="0" borderId="6" xfId="0" applyFont="1" applyBorder="1" applyAlignment="1">
      <alignment horizontal="left" vertical="center" wrapText="1"/>
    </xf>
    <xf numFmtId="0" fontId="17" fillId="0" borderId="7" xfId="0" applyFont="1" applyBorder="1" applyAlignment="1">
      <alignment horizontal="center" wrapText="1"/>
    </xf>
    <xf numFmtId="1" fontId="2" fillId="3" borderId="1" xfId="0" applyNumberFormat="1" applyFont="1" applyFill="1" applyBorder="1" applyAlignment="1" applyProtection="1">
      <alignment horizontal="center" wrapText="1"/>
      <protection locked="0"/>
    </xf>
    <xf numFmtId="0" fontId="15" fillId="0" borderId="2" xfId="2" applyFont="1" applyBorder="1" applyAlignment="1" applyProtection="1">
      <alignment horizontal="center" wrapText="1"/>
    </xf>
    <xf numFmtId="14" fontId="2" fillId="2" borderId="2" xfId="0" applyNumberFormat="1" applyFont="1" applyFill="1" applyBorder="1" applyAlignment="1">
      <alignment horizontal="center" wrapText="1"/>
    </xf>
    <xf numFmtId="0" fontId="2" fillId="2" borderId="2" xfId="0" applyFont="1" applyFill="1" applyBorder="1" applyAlignment="1">
      <alignment horizontal="center" wrapText="1"/>
    </xf>
    <xf numFmtId="0" fontId="2" fillId="3" borderId="2" xfId="0" applyFont="1" applyFill="1" applyBorder="1" applyAlignment="1">
      <alignment horizontal="center" wrapText="1"/>
    </xf>
    <xf numFmtId="14" fontId="2" fillId="3" borderId="1" xfId="0" applyNumberFormat="1" applyFont="1" applyFill="1" applyBorder="1" applyAlignment="1" applyProtection="1">
      <alignment horizontal="center" wrapText="1"/>
      <protection locked="0"/>
    </xf>
    <xf numFmtId="14" fontId="2" fillId="3" borderId="8" xfId="0" applyNumberFormat="1" applyFont="1" applyFill="1" applyBorder="1" applyAlignment="1" applyProtection="1">
      <alignment horizontal="center" wrapText="1"/>
      <protection locked="0"/>
    </xf>
    <xf numFmtId="0" fontId="3" fillId="0" borderId="7" xfId="0" applyFont="1" applyBorder="1" applyAlignment="1">
      <alignment horizontal="center" wrapText="1"/>
    </xf>
    <xf numFmtId="0" fontId="40" fillId="0" borderId="0" xfId="0" applyFont="1" applyAlignment="1">
      <alignment horizontal="left"/>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6" xfId="0" applyFont="1" applyBorder="1" applyAlignment="1">
      <alignment wrapText="1"/>
    </xf>
    <xf numFmtId="0" fontId="2" fillId="0" borderId="10" xfId="0" applyFont="1" applyBorder="1" applyAlignment="1">
      <alignment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4" xfId="0" applyFont="1" applyBorder="1" applyAlignment="1">
      <alignment horizontal="left" vertical="center" wrapText="1"/>
    </xf>
    <xf numFmtId="0" fontId="61" fillId="0" borderId="9" xfId="0" applyFont="1" applyBorder="1" applyAlignment="1">
      <alignment horizontal="left" vertical="center" wrapText="1"/>
    </xf>
    <xf numFmtId="0" fontId="61" fillId="0" borderId="12" xfId="0" applyFont="1" applyBorder="1" applyAlignment="1">
      <alignment horizontal="left" vertical="center" wrapText="1"/>
    </xf>
    <xf numFmtId="0" fontId="61" fillId="0" borderId="6" xfId="0" applyFont="1" applyBorder="1" applyAlignment="1">
      <alignment horizontal="left" vertical="center" wrapText="1"/>
    </xf>
    <xf numFmtId="0" fontId="17" fillId="0" borderId="14" xfId="0" applyFont="1" applyBorder="1" applyAlignment="1">
      <alignment horizontal="center" wrapText="1"/>
    </xf>
    <xf numFmtId="9" fontId="2" fillId="3" borderId="16" xfId="3" applyFont="1" applyFill="1" applyBorder="1" applyAlignment="1" applyProtection="1">
      <alignment horizontal="center"/>
      <protection locked="0"/>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lignment horizontal="center" wrapText="1"/>
    </xf>
    <xf numFmtId="10" fontId="24" fillId="0" borderId="8" xfId="3" applyNumberFormat="1" applyFont="1" applyFill="1" applyBorder="1" applyAlignment="1">
      <alignment horizontal="center" wrapText="1"/>
    </xf>
    <xf numFmtId="10" fontId="24" fillId="0" borderId="16" xfId="3" applyNumberFormat="1" applyFont="1" applyFill="1" applyBorder="1" applyAlignment="1">
      <alignment horizontal="center" wrapText="1"/>
    </xf>
    <xf numFmtId="10" fontId="24" fillId="0" borderId="10" xfId="3" applyNumberFormat="1" applyFont="1" applyFill="1" applyBorder="1" applyAlignment="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0" fontId="48" fillId="4" borderId="8" xfId="3" applyNumberFormat="1" applyFont="1" applyFill="1" applyBorder="1" applyAlignment="1">
      <alignment horizontal="center" wrapText="1"/>
    </xf>
    <xf numFmtId="10" fontId="48" fillId="4" borderId="16" xfId="3" applyNumberFormat="1" applyFont="1" applyFill="1" applyBorder="1" applyAlignment="1">
      <alignment horizontal="center" wrapText="1"/>
    </xf>
    <xf numFmtId="10" fontId="48"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10" fontId="2" fillId="2" borderId="7" xfId="0" applyNumberFormat="1" applyFont="1" applyFill="1" applyBorder="1" applyAlignment="1">
      <alignment horizontal="center"/>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9" fontId="2" fillId="2" borderId="9" xfId="3" applyFont="1" applyFill="1" applyBorder="1" applyAlignment="1">
      <alignment horizontal="center"/>
    </xf>
    <xf numFmtId="9" fontId="2" fillId="2" borderId="12" xfId="3" applyFont="1" applyFill="1" applyBorder="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19" fillId="0" borderId="8" xfId="0" applyFont="1" applyBorder="1" applyAlignment="1">
      <alignment horizontal="center" wrapText="1"/>
    </xf>
    <xf numFmtId="0" fontId="19" fillId="0" borderId="16" xfId="0" applyFont="1" applyBorder="1" applyAlignment="1">
      <alignment horizontal="center" wrapText="1"/>
    </xf>
    <xf numFmtId="0" fontId="19" fillId="0" borderId="10" xfId="0" applyFont="1" applyBorder="1" applyAlignment="1">
      <alignment horizontal="center" wrapText="1"/>
    </xf>
    <xf numFmtId="0" fontId="34" fillId="0" borderId="1" xfId="0" applyFont="1" applyBorder="1" applyAlignment="1">
      <alignment horizontal="center"/>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2" fillId="0" borderId="11" xfId="0" applyFont="1" applyBorder="1" applyAlignment="1">
      <alignment horizontal="right"/>
    </xf>
    <xf numFmtId="10" fontId="2" fillId="2" borderId="7" xfId="3" applyNumberFormat="1"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44" fontId="2" fillId="0" borderId="1" xfId="1" applyFont="1" applyBorder="1" applyAlignment="1">
      <alignment horizontal="left"/>
    </xf>
    <xf numFmtId="0" fontId="49" fillId="0" borderId="8" xfId="2" applyFont="1" applyFill="1" applyBorder="1" applyAlignment="1" applyProtection="1">
      <alignment horizontal="center"/>
    </xf>
    <xf numFmtId="0" fontId="49" fillId="0" borderId="16" xfId="2" applyFont="1" applyFill="1" applyBorder="1" applyAlignment="1" applyProtection="1">
      <alignment horizontal="center"/>
    </xf>
    <xf numFmtId="0" fontId="49"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5" fillId="0" borderId="8" xfId="0" applyFont="1" applyBorder="1" applyAlignment="1">
      <alignment horizontal="center" wrapText="1"/>
    </xf>
    <xf numFmtId="0" fontId="65" fillId="0" borderId="16" xfId="0" applyFont="1" applyBorder="1" applyAlignment="1">
      <alignment horizontal="center" wrapText="1"/>
    </xf>
    <xf numFmtId="0" fontId="65"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Alignment="1">
      <alignment horizontal="center"/>
    </xf>
    <xf numFmtId="9" fontId="12" fillId="2" borderId="1" xfId="3" applyFont="1" applyFill="1" applyBorder="1" applyAlignment="1">
      <alignment horizontal="center"/>
    </xf>
    <xf numFmtId="9" fontId="2" fillId="0" borderId="0" xfId="0" applyNumberFormat="1" applyFont="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9" fontId="17" fillId="0" borderId="2" xfId="3" applyFont="1" applyFill="1" applyBorder="1" applyAlignment="1">
      <alignment horizontal="left" wrapText="1"/>
    </xf>
    <xf numFmtId="0" fontId="14" fillId="0" borderId="1" xfId="0" applyFont="1" applyBorder="1" applyAlignment="1">
      <alignment horizontal="center" wrapText="1"/>
    </xf>
    <xf numFmtId="0" fontId="13" fillId="0" borderId="14"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10" fillId="0" borderId="8" xfId="3" applyFont="1" applyFill="1" applyBorder="1" applyAlignment="1">
      <alignment horizontal="center" wrapText="1"/>
    </xf>
    <xf numFmtId="9" fontId="10" fillId="0" borderId="16" xfId="3" applyFont="1" applyFill="1" applyBorder="1" applyAlignment="1">
      <alignment horizontal="center"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5" fillId="0" borderId="16" xfId="3" applyFont="1" applyBorder="1" applyAlignment="1">
      <alignment horizontal="right" wrapText="1"/>
    </xf>
    <xf numFmtId="9" fontId="65" fillId="0" borderId="10" xfId="3" applyFont="1" applyBorder="1" applyAlignment="1">
      <alignment horizontal="right" wrapText="1"/>
    </xf>
    <xf numFmtId="0" fontId="35" fillId="0" borderId="1" xfId="0" applyFont="1" applyBorder="1" applyAlignment="1">
      <alignment horizontal="center"/>
    </xf>
    <xf numFmtId="0" fontId="14" fillId="0" borderId="1" xfId="0" applyFont="1" applyBorder="1" applyAlignment="1">
      <alignment horizontal="center"/>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9" fontId="65" fillId="0" borderId="9" xfId="3" applyFont="1" applyBorder="1" applyAlignment="1">
      <alignment horizontal="right" wrapText="1"/>
    </xf>
    <xf numFmtId="9" fontId="65" fillId="0" borderId="12" xfId="3" applyFont="1" applyBorder="1" applyAlignment="1">
      <alignment horizontal="right" wrapText="1"/>
    </xf>
    <xf numFmtId="9" fontId="65" fillId="0" borderId="6" xfId="3" applyFont="1" applyBorder="1" applyAlignment="1">
      <alignment horizontal="right" wrapText="1"/>
    </xf>
    <xf numFmtId="9" fontId="10" fillId="0" borderId="10" xfId="3" applyFont="1" applyFill="1" applyBorder="1" applyAlignment="1">
      <alignment horizontal="center" wrapText="1"/>
    </xf>
    <xf numFmtId="10" fontId="2" fillId="0" borderId="1" xfId="3" applyNumberFormat="1" applyFont="1" applyBorder="1" applyAlignment="1">
      <alignment horizontal="left"/>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60" fillId="0" borderId="7" xfId="0" applyNumberFormat="1" applyFont="1" applyBorder="1" applyAlignment="1">
      <alignment horizontal="left" wrapText="1"/>
    </xf>
    <xf numFmtId="9" fontId="60" fillId="0" borderId="14" xfId="0" applyNumberFormat="1" applyFont="1" applyBorder="1" applyAlignment="1">
      <alignment horizontal="left" wrapText="1"/>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3" fillId="0" borderId="14" xfId="0"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9" fontId="26" fillId="0" borderId="2" xfId="3" applyFont="1" applyFill="1" applyBorder="1" applyAlignment="1">
      <alignment horizontal="left" vertical="center"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54" fillId="0" borderId="14" xfId="0" applyFont="1" applyBorder="1" applyAlignment="1">
      <alignment horizontal="left" wrapText="1"/>
    </xf>
    <xf numFmtId="0" fontId="54"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4" fillId="0" borderId="0" xfId="2" applyFont="1" applyFill="1" applyBorder="1" applyAlignment="1" applyProtection="1">
      <alignment horizontal="center"/>
    </xf>
    <xf numFmtId="0" fontId="33" fillId="0" borderId="0" xfId="0" applyFont="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3" fontId="3" fillId="0" borderId="1" xfId="0" applyNumberFormat="1" applyFont="1" applyBorder="1" applyAlignment="1">
      <alignment horizontal="center"/>
    </xf>
    <xf numFmtId="0" fontId="40" fillId="0" borderId="0" xfId="0" applyFont="1" applyAlignment="1">
      <alignment horizontal="left" wrapText="1"/>
    </xf>
    <xf numFmtId="9" fontId="38" fillId="0" borderId="0" xfId="3" applyFont="1" applyFill="1" applyBorder="1" applyAlignment="1">
      <alignment horizontal="left" wrapText="1"/>
    </xf>
    <xf numFmtId="0" fontId="56"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40" fillId="2" borderId="8" xfId="0" applyFont="1" applyFill="1" applyBorder="1" applyAlignment="1">
      <alignment horizontal="center"/>
    </xf>
    <xf numFmtId="0" fontId="40" fillId="2" borderId="16" xfId="0" applyFont="1" applyFill="1" applyBorder="1" applyAlignment="1">
      <alignment horizontal="center"/>
    </xf>
    <xf numFmtId="0" fontId="40" fillId="2" borderId="10" xfId="0" applyFont="1" applyFill="1" applyBorder="1" applyAlignment="1">
      <alignment horizontal="center"/>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44" fontId="2" fillId="3" borderId="1" xfId="1" applyNumberFormat="1" applyFont="1" applyFill="1" applyBorder="1" applyAlignment="1" applyProtection="1">
      <protection locked="0"/>
    </xf>
  </cellXfs>
  <cellStyles count="4">
    <cellStyle name="Currency" xfId="1" builtinId="4"/>
    <cellStyle name="Hyperlink" xfId="2" builtinId="8"/>
    <cellStyle name="Normal" xfId="0" builtinId="0"/>
    <cellStyle name="Percent" xfId="3" builtinId="5"/>
  </cellStyles>
  <dxfs count="33">
    <dxf>
      <font>
        <color theme="0" tint="-0.499984740745262"/>
      </font>
      <fill>
        <patternFill>
          <bgColor theme="0" tint="-0.499984740745262"/>
        </patternFill>
      </fill>
    </dxf>
    <dxf>
      <font>
        <color theme="0" tint="-0.499984740745262"/>
      </font>
      <fill>
        <patternFill>
          <bgColor theme="0" tint="-0.499984740745262"/>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B050"/>
      </font>
    </dxf>
    <dxf>
      <font>
        <color rgb="FF00B050"/>
      </font>
    </dxf>
    <dxf>
      <fill>
        <patternFill>
          <bgColor theme="0" tint="-0.24994659260841701"/>
        </patternFill>
      </fill>
    </dxf>
    <dxf>
      <fill>
        <patternFill>
          <bgColor theme="0" tint="-0.24994659260841701"/>
        </patternFill>
      </fill>
    </dxf>
    <dxf>
      <font>
        <color rgb="FF00B050"/>
      </font>
    </dxf>
    <dxf>
      <fill>
        <patternFill>
          <bgColor theme="0" tint="-0.24994659260841701"/>
        </patternFill>
      </fill>
    </dxf>
    <dxf>
      <fill>
        <patternFill>
          <bgColor theme="0" tint="-0.24994659260841701"/>
        </patternFill>
      </fill>
    </dxf>
    <dxf>
      <font>
        <condense val="0"/>
        <extend val="0"/>
        <color indexed="55"/>
      </font>
      <fill>
        <patternFill>
          <bgColor indexed="55"/>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rgb="FFC00000"/>
      </font>
      <fill>
        <patternFill>
          <bgColor theme="0"/>
        </patternFill>
      </fill>
    </dxf>
    <dxf>
      <font>
        <b/>
        <i val="0"/>
        <color theme="9" tint="-0.499984740745262"/>
      </font>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1.xml><?xml version="1.0" encoding="utf-8"?>
<formControlPr xmlns="http://schemas.microsoft.com/office/spreadsheetml/2009/9/main" objectType="CheckBox" fmlaLink="$S$260" lockText="1"/>
</file>

<file path=xl/ctrlProps/ctrlProp102.xml><?xml version="1.0" encoding="utf-8"?>
<formControlPr xmlns="http://schemas.microsoft.com/office/spreadsheetml/2009/9/main" objectType="CheckBox" fmlaLink="$S$333" lockText="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77"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68"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2"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497"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7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0"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1"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88"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fmlaLink="$S$54" lockText="1"/>
</file>

<file path=xl/ctrlProps/ctrlProp152.xml><?xml version="1.0" encoding="utf-8"?>
<formControlPr xmlns="http://schemas.microsoft.com/office/spreadsheetml/2009/9/main" objectType="CheckBox" fmlaLink="$S$55" lockText="1"/>
</file>

<file path=xl/ctrlProps/ctrlProp153.xml><?xml version="1.0" encoding="utf-8"?>
<formControlPr xmlns="http://schemas.microsoft.com/office/spreadsheetml/2009/9/main" objectType="CheckBox" fmlaLink="$S$130" lockText="1"/>
</file>

<file path=xl/ctrlProps/ctrlProp154.xml><?xml version="1.0" encoding="utf-8"?>
<formControlPr xmlns="http://schemas.microsoft.com/office/spreadsheetml/2009/9/main" objectType="CheckBox" fmlaLink="$S$131" lockText="1"/>
</file>

<file path=xl/ctrlProps/ctrlProp155.xml><?xml version="1.0" encoding="utf-8"?>
<formControlPr xmlns="http://schemas.microsoft.com/office/spreadsheetml/2009/9/main" objectType="CheckBox" fmlaLink="$S$132" lockText="1"/>
</file>

<file path=xl/ctrlProps/ctrlProp156.xml><?xml version="1.0" encoding="utf-8"?>
<formControlPr xmlns="http://schemas.microsoft.com/office/spreadsheetml/2009/9/main" objectType="CheckBox" fmlaLink="$S$206" lockText="1"/>
</file>

<file path=xl/ctrlProps/ctrlProp157.xml><?xml version="1.0" encoding="utf-8"?>
<formControlPr xmlns="http://schemas.microsoft.com/office/spreadsheetml/2009/9/main" objectType="CheckBox" fmlaLink="$S$207" lockText="1"/>
</file>

<file path=xl/ctrlProps/ctrlProp158.xml><?xml version="1.0" encoding="utf-8"?>
<formControlPr xmlns="http://schemas.microsoft.com/office/spreadsheetml/2009/9/main" objectType="CheckBox" fmlaLink="$S$208" lockText="1"/>
</file>

<file path=xl/ctrlProps/ctrlProp159.xml><?xml version="1.0" encoding="utf-8"?>
<formControlPr xmlns="http://schemas.microsoft.com/office/spreadsheetml/2009/9/main" objectType="CheckBox" fmlaLink="$S$282" lockText="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CheckBox" fmlaLink="$S$283" lockText="1"/>
</file>

<file path=xl/ctrlProps/ctrlProp161.xml><?xml version="1.0" encoding="utf-8"?>
<formControlPr xmlns="http://schemas.microsoft.com/office/spreadsheetml/2009/9/main" objectType="CheckBox" fmlaLink="$S$284" lockText="1"/>
</file>

<file path=xl/ctrlProps/ctrlProp162.xml><?xml version="1.0" encoding="utf-8"?>
<formControlPr xmlns="http://schemas.microsoft.com/office/spreadsheetml/2009/9/main" objectType="CheckBox" fmlaLink="$S$357" lockText="1"/>
</file>

<file path=xl/ctrlProps/ctrlProp163.xml><?xml version="1.0" encoding="utf-8"?>
<formControlPr xmlns="http://schemas.microsoft.com/office/spreadsheetml/2009/9/main" objectType="CheckBox" fmlaLink="$S$358" lockText="1"/>
</file>

<file path=xl/ctrlProps/ctrlProp164.xml><?xml version="1.0" encoding="utf-8"?>
<formControlPr xmlns="http://schemas.microsoft.com/office/spreadsheetml/2009/9/main" objectType="CheckBox" fmlaLink="$S$359" lockText="1"/>
</file>

<file path=xl/ctrlProps/ctrlProp165.xml><?xml version="1.0" encoding="utf-8"?>
<formControlPr xmlns="http://schemas.microsoft.com/office/spreadsheetml/2009/9/main" objectType="CheckBox" fmlaLink="$R$386" lockText="1"/>
</file>

<file path=xl/ctrlProps/ctrlProp166.xml><?xml version="1.0" encoding="utf-8"?>
<formControlPr xmlns="http://schemas.microsoft.com/office/spreadsheetml/2009/9/main" objectType="CheckBox" fmlaLink="$R$387" lockText="1"/>
</file>

<file path=xl/ctrlProps/ctrlProp167.xml><?xml version="1.0" encoding="utf-8"?>
<formControlPr xmlns="http://schemas.microsoft.com/office/spreadsheetml/2009/9/main" objectType="CheckBox" fmlaLink="$R$388" lockText="1"/>
</file>

<file path=xl/ctrlProps/ctrlProp168.xml><?xml version="1.0" encoding="utf-8"?>
<formControlPr xmlns="http://schemas.microsoft.com/office/spreadsheetml/2009/9/main" objectType="CheckBox" fmlaLink="$R$389" lockText="1"/>
</file>

<file path=xl/ctrlProps/ctrlProp169.xml><?xml version="1.0" encoding="utf-8"?>
<formControlPr xmlns="http://schemas.microsoft.com/office/spreadsheetml/2009/9/main" objectType="CheckBox" fmlaLink="$R$390" lockText="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CheckBox" fmlaLink="$S$422" lockText="1"/>
</file>

<file path=xl/ctrlProps/ctrlProp171.xml><?xml version="1.0" encoding="utf-8"?>
<formControlPr xmlns="http://schemas.microsoft.com/office/spreadsheetml/2009/9/main" objectType="CheckBox" fmlaLink="$S$423" lockText="1"/>
</file>

<file path=xl/ctrlProps/ctrlProp172.xml><?xml version="1.0" encoding="utf-8"?>
<formControlPr xmlns="http://schemas.microsoft.com/office/spreadsheetml/2009/9/main" objectType="CheckBox" fmlaLink="$R$446" lockText="1"/>
</file>

<file path=xl/ctrlProps/ctrlProp173.xml><?xml version="1.0" encoding="utf-8"?>
<formControlPr xmlns="http://schemas.microsoft.com/office/spreadsheetml/2009/9/main" objectType="CheckBox" fmlaLink="$R$447" lockText="1"/>
</file>

<file path=xl/ctrlProps/ctrlProp174.xml><?xml version="1.0" encoding="utf-8"?>
<formControlPr xmlns="http://schemas.microsoft.com/office/spreadsheetml/2009/9/main" objectType="CheckBox" fmlaLink="$R$448" lockText="1"/>
</file>

<file path=xl/ctrlProps/ctrlProp175.xml><?xml version="1.0" encoding="utf-8"?>
<formControlPr xmlns="http://schemas.microsoft.com/office/spreadsheetml/2009/9/main" objectType="CheckBox" fmlaLink="$R$449" lockText="1"/>
</file>

<file path=xl/ctrlProps/ctrlProp176.xml><?xml version="1.0" encoding="utf-8"?>
<formControlPr xmlns="http://schemas.microsoft.com/office/spreadsheetml/2009/9/main" objectType="CheckBox" fmlaLink="$R$450" lockText="1"/>
</file>

<file path=xl/ctrlProps/ctrlProp177.xml><?xml version="1.0" encoding="utf-8"?>
<formControlPr xmlns="http://schemas.microsoft.com/office/spreadsheetml/2009/9/main" objectType="CheckBox" fmlaLink="$R$454" lockText="1"/>
</file>

<file path=xl/ctrlProps/ctrlProp178.xml><?xml version="1.0" encoding="utf-8"?>
<formControlPr xmlns="http://schemas.microsoft.com/office/spreadsheetml/2009/9/main" objectType="CheckBox" fmlaLink="$R$455" lockText="1"/>
</file>

<file path=xl/ctrlProps/ctrlProp179.xml><?xml version="1.0" encoding="utf-8"?>
<formControlPr xmlns="http://schemas.microsoft.com/office/spreadsheetml/2009/9/main" objectType="CheckBox" fmlaLink="$R$456" lockText="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CheckBox" fmlaLink="$R$457" lockText="1"/>
</file>

<file path=xl/ctrlProps/ctrlProp181.xml><?xml version="1.0" encoding="utf-8"?>
<formControlPr xmlns="http://schemas.microsoft.com/office/spreadsheetml/2009/9/main" objectType="CheckBox" fmlaLink="$R$491" lockText="1"/>
</file>

<file path=xl/ctrlProps/ctrlProp182.xml><?xml version="1.0" encoding="utf-8"?>
<formControlPr xmlns="http://schemas.microsoft.com/office/spreadsheetml/2009/9/main" objectType="CheckBox" fmlaLink="$R$490" lockText="1"/>
</file>

<file path=xl/ctrlProps/ctrlProp183.xml><?xml version="1.0" encoding="utf-8"?>
<formControlPr xmlns="http://schemas.microsoft.com/office/spreadsheetml/2009/9/main" objectType="CheckBox" fmlaLink="$R$479" lockText="1"/>
</file>

<file path=xl/ctrlProps/ctrlProp184.xml><?xml version="1.0" encoding="utf-8"?>
<formControlPr xmlns="http://schemas.microsoft.com/office/spreadsheetml/2009/9/main" objectType="CheckBox" fmlaLink="$R$480" lockText="1"/>
</file>

<file path=xl/ctrlProps/ctrlProp185.xml><?xml version="1.0" encoding="utf-8"?>
<formControlPr xmlns="http://schemas.microsoft.com/office/spreadsheetml/2009/9/main" objectType="CheckBox" fmlaLink="$R$481" lockText="1"/>
</file>

<file path=xl/ctrlProps/ctrlProp186.xml><?xml version="1.0" encoding="utf-8"?>
<formControlPr xmlns="http://schemas.microsoft.com/office/spreadsheetml/2009/9/main" objectType="CheckBox" fmlaLink="$R$482" lockText="1"/>
</file>

<file path=xl/ctrlProps/ctrlProp187.xml><?xml version="1.0" encoding="utf-8"?>
<formControlPr xmlns="http://schemas.microsoft.com/office/spreadsheetml/2009/9/main" objectType="CheckBox" fmlaLink="$R$483" lockText="1"/>
</file>

<file path=xl/ctrlProps/ctrlProp188.xml><?xml version="1.0" encoding="utf-8"?>
<formControlPr xmlns="http://schemas.microsoft.com/office/spreadsheetml/2009/9/main" objectType="CheckBox" fmlaLink="$R$484" lockText="1"/>
</file>

<file path=xl/ctrlProps/ctrlProp189.xml><?xml version="1.0" encoding="utf-8"?>
<formControlPr xmlns="http://schemas.microsoft.com/office/spreadsheetml/2009/9/main" objectType="CheckBox" fmlaLink="$R$485" lockText="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R$486" lockText="1"/>
</file>

<file path=xl/ctrlProps/ctrlProp191.xml><?xml version="1.0" encoding="utf-8"?>
<formControlPr xmlns="http://schemas.microsoft.com/office/spreadsheetml/2009/9/main" objectType="CheckBox" fmlaLink="$R$487" lockText="1"/>
</file>

<file path=xl/ctrlProps/ctrlProp192.xml><?xml version="1.0" encoding="utf-8"?>
<formControlPr xmlns="http://schemas.microsoft.com/office/spreadsheetml/2009/9/main" objectType="CheckBox" fmlaLink="$R$488" lockText="1"/>
</file>

<file path=xl/ctrlProps/ctrlProp193.xml><?xml version="1.0" encoding="utf-8"?>
<formControlPr xmlns="http://schemas.microsoft.com/office/spreadsheetml/2009/9/main" objectType="CheckBox" fmlaLink="$R$489" lockText="1"/>
</file>

<file path=xl/ctrlProps/ctrlProp194.xml><?xml version="1.0" encoding="utf-8"?>
<formControlPr xmlns="http://schemas.microsoft.com/office/spreadsheetml/2009/9/main" objectType="CheckBox" fmlaLink="$R$495" lockText="1"/>
</file>

<file path=xl/ctrlProps/ctrlProp195.xml><?xml version="1.0" encoding="utf-8"?>
<formControlPr xmlns="http://schemas.microsoft.com/office/spreadsheetml/2009/9/main" objectType="CheckBox" fmlaLink="$R$496" lockText="1"/>
</file>

<file path=xl/ctrlProps/ctrlProp196.xml><?xml version="1.0" encoding="utf-8"?>
<formControlPr xmlns="http://schemas.microsoft.com/office/spreadsheetml/2009/9/main" objectType="CheckBox" fmlaLink="$R$497" lockText="1"/>
</file>

<file path=xl/ctrlProps/ctrlProp197.xml><?xml version="1.0" encoding="utf-8"?>
<formControlPr xmlns="http://schemas.microsoft.com/office/spreadsheetml/2009/9/main" objectType="CheckBox" fmlaLink="$R$498" lockText="1"/>
</file>

<file path=xl/ctrlProps/ctrlProp198.xml><?xml version="1.0" encoding="utf-8"?>
<formControlPr xmlns="http://schemas.microsoft.com/office/spreadsheetml/2009/9/main" objectType="CheckBox" fmlaLink="$R$499" lockText="1"/>
</file>

<file path=xl/ctrlProps/ctrlProp199.xml><?xml version="1.0" encoding="utf-8"?>
<formControlPr xmlns="http://schemas.microsoft.com/office/spreadsheetml/2009/9/main" objectType="CheckBox" fmlaLink="$R$500"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R$501" lockText="1"/>
</file>

<file path=xl/ctrlProps/ctrlProp201.xml><?xml version="1.0" encoding="utf-8"?>
<formControlPr xmlns="http://schemas.microsoft.com/office/spreadsheetml/2009/9/main" objectType="CheckBox" fmlaLink="$R$502" lockText="1"/>
</file>

<file path=xl/ctrlProps/ctrlProp202.xml><?xml version="1.0" encoding="utf-8"?>
<formControlPr xmlns="http://schemas.microsoft.com/office/spreadsheetml/2009/9/main" objectType="CheckBox" fmlaLink="$R$503" lockText="1"/>
</file>

<file path=xl/ctrlProps/ctrlProp203.xml><?xml version="1.0" encoding="utf-8"?>
<formControlPr xmlns="http://schemas.microsoft.com/office/spreadsheetml/2009/9/main" objectType="CheckBox" fmlaLink="$R$504" lockText="1"/>
</file>

<file path=xl/ctrlProps/ctrlProp204.xml><?xml version="1.0" encoding="utf-8"?>
<formControlPr xmlns="http://schemas.microsoft.com/office/spreadsheetml/2009/9/main" objectType="CheckBox" fmlaLink="$R$505"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R$514"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checked="Checked" firstButton="1" fmlaLink="$R$558"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S$44" lockText="1"/>
</file>

<file path=xl/ctrlProps/ctrlProp212.xml><?xml version="1.0" encoding="utf-8"?>
<formControlPr xmlns="http://schemas.microsoft.com/office/spreadsheetml/2009/9/main" objectType="CheckBox" fmlaLink="$S$45" lockText="1"/>
</file>

<file path=xl/ctrlProps/ctrlProp213.xml><?xml version="1.0" encoding="utf-8"?>
<formControlPr xmlns="http://schemas.microsoft.com/office/spreadsheetml/2009/9/main" objectType="CheckBox" fmlaLink="$S$47" lockText="1"/>
</file>

<file path=xl/ctrlProps/ctrlProp214.xml><?xml version="1.0" encoding="utf-8"?>
<formControlPr xmlns="http://schemas.microsoft.com/office/spreadsheetml/2009/9/main" objectType="CheckBox" fmlaLink="$S$46" lockText="1"/>
</file>

<file path=xl/ctrlProps/ctrlProp215.xml><?xml version="1.0" encoding="utf-8"?>
<formControlPr xmlns="http://schemas.microsoft.com/office/spreadsheetml/2009/9/main" objectType="CheckBox" fmlaLink="$S$106" lockText="1"/>
</file>

<file path=xl/ctrlProps/ctrlProp216.xml><?xml version="1.0" encoding="utf-8"?>
<formControlPr xmlns="http://schemas.microsoft.com/office/spreadsheetml/2009/9/main" objectType="CheckBox" fmlaLink="$S$107" lockText="1"/>
</file>

<file path=xl/ctrlProps/ctrlProp217.xml><?xml version="1.0" encoding="utf-8"?>
<formControlPr xmlns="http://schemas.microsoft.com/office/spreadsheetml/2009/9/main" objectType="CheckBox" fmlaLink="$S$109" lockText="1"/>
</file>

<file path=xl/ctrlProps/ctrlProp218.xml><?xml version="1.0" encoding="utf-8"?>
<formControlPr xmlns="http://schemas.microsoft.com/office/spreadsheetml/2009/9/main" objectType="CheckBox" fmlaLink="$S$108" lockText="1"/>
</file>

<file path=xl/ctrlProps/ctrlProp219.xml><?xml version="1.0" encoding="utf-8"?>
<formControlPr xmlns="http://schemas.microsoft.com/office/spreadsheetml/2009/9/main" objectType="CheckBox" fmlaLink="$S$182"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S$183" lockText="1"/>
</file>

<file path=xl/ctrlProps/ctrlProp221.xml><?xml version="1.0" encoding="utf-8"?>
<formControlPr xmlns="http://schemas.microsoft.com/office/spreadsheetml/2009/9/main" objectType="CheckBox" fmlaLink="$S$185" lockText="1"/>
</file>

<file path=xl/ctrlProps/ctrlProp222.xml><?xml version="1.0" encoding="utf-8"?>
<formControlPr xmlns="http://schemas.microsoft.com/office/spreadsheetml/2009/9/main" objectType="CheckBox" fmlaLink="$S$184" lockText="1"/>
</file>

<file path=xl/ctrlProps/ctrlProp223.xml><?xml version="1.0" encoding="utf-8"?>
<formControlPr xmlns="http://schemas.microsoft.com/office/spreadsheetml/2009/9/main" objectType="CheckBox" fmlaLink="$S$258" lockText="1"/>
</file>

<file path=xl/ctrlProps/ctrlProp224.xml><?xml version="1.0" encoding="utf-8"?>
<formControlPr xmlns="http://schemas.microsoft.com/office/spreadsheetml/2009/9/main" objectType="CheckBox" fmlaLink="$S$259" lockText="1"/>
</file>

<file path=xl/ctrlProps/ctrlProp225.xml><?xml version="1.0" encoding="utf-8"?>
<formControlPr xmlns="http://schemas.microsoft.com/office/spreadsheetml/2009/9/main" objectType="CheckBox" fmlaLink="$S$261" lockText="1"/>
</file>

<file path=xl/ctrlProps/ctrlProp226.xml><?xml version="1.0" encoding="utf-8"?>
<formControlPr xmlns="http://schemas.microsoft.com/office/spreadsheetml/2009/9/main" objectType="CheckBox" fmlaLink="$S$260" lockText="1"/>
</file>

<file path=xl/ctrlProps/ctrlProp227.xml><?xml version="1.0" encoding="utf-8"?>
<formControlPr xmlns="http://schemas.microsoft.com/office/spreadsheetml/2009/9/main" objectType="CheckBox" fmlaLink="$S$333" lockText="1"/>
</file>

<file path=xl/ctrlProps/ctrlProp228.xml><?xml version="1.0" encoding="utf-8"?>
<formControlPr xmlns="http://schemas.microsoft.com/office/spreadsheetml/2009/9/main" objectType="CheckBox" fmlaLink="$S$334" lockText="1"/>
</file>

<file path=xl/ctrlProps/ctrlProp229.xml><?xml version="1.0" encoding="utf-8"?>
<formControlPr xmlns="http://schemas.microsoft.com/office/spreadsheetml/2009/9/main" objectType="CheckBox" fmlaLink="$S$336"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S$335" lockText="1"/>
</file>

<file path=xl/ctrlProps/ctrlProp231.xml><?xml version="1.0" encoding="utf-8"?>
<formControlPr xmlns="http://schemas.microsoft.com/office/spreadsheetml/2009/9/main" objectType="CheckBox" fmlaLink="$S$577" lockText="1"/>
</file>

<file path=xl/ctrlProps/ctrlProp232.xml><?xml version="1.0" encoding="utf-8"?>
<formControlPr xmlns="http://schemas.microsoft.com/office/spreadsheetml/2009/9/main" objectType="CheckBox" fmlaLink="$R$460" lockText="1"/>
</file>

<file path=xl/ctrlProps/ctrlProp233.xml><?xml version="1.0" encoding="utf-8"?>
<formControlPr xmlns="http://schemas.microsoft.com/office/spreadsheetml/2009/9/main" objectType="CheckBox" fmlaLink="$R$461" lockText="1"/>
</file>

<file path=xl/ctrlProps/ctrlProp234.xml><?xml version="1.0" encoding="utf-8"?>
<formControlPr xmlns="http://schemas.microsoft.com/office/spreadsheetml/2009/9/main" objectType="CheckBox" fmlaLink="$R$462" lockText="1"/>
</file>

<file path=xl/ctrlProps/ctrlProp235.xml><?xml version="1.0" encoding="utf-8"?>
<formControlPr xmlns="http://schemas.microsoft.com/office/spreadsheetml/2009/9/main" objectType="CheckBox" fmlaLink="$R$463" lockText="1"/>
</file>

<file path=xl/ctrlProps/ctrlProp236.xml><?xml version="1.0" encoding="utf-8"?>
<formControlPr xmlns="http://schemas.microsoft.com/office/spreadsheetml/2009/9/main" objectType="CheckBox" fmlaLink="$R$464" lockText="1"/>
</file>

<file path=xl/ctrlProps/ctrlProp237.xml><?xml version="1.0" encoding="utf-8"?>
<formControlPr xmlns="http://schemas.microsoft.com/office/spreadsheetml/2009/9/main" objectType="CheckBox" fmlaLink="$R$475" lockText="1"/>
</file>

<file path=xl/ctrlProps/ctrlProp238.xml><?xml version="1.0" encoding="utf-8"?>
<formControlPr xmlns="http://schemas.microsoft.com/office/spreadsheetml/2009/9/main" objectType="CheckBox" fmlaLink="$R$476" lockText="1"/>
</file>

<file path=xl/ctrlProps/ctrlProp239.xml><?xml version="1.0" encoding="utf-8"?>
<formControlPr xmlns="http://schemas.microsoft.com/office/spreadsheetml/2009/9/main" objectType="CheckBox" fmlaLink="$R$467"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321" lockText="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Z$46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CheckBox" fmlaLink="$R$469" lockText="1"/>
</file>

<file path=xl/ctrlProps/ctrlProp246.xml><?xml version="1.0" encoding="utf-8"?>
<formControlPr xmlns="http://schemas.microsoft.com/office/spreadsheetml/2009/9/main" objectType="CheckBox" fmlaLink="$R$470" lockText="1"/>
</file>

<file path=xl/ctrlProps/ctrlProp247.xml><?xml version="1.0" encoding="utf-8"?>
<formControlPr xmlns="http://schemas.microsoft.com/office/spreadsheetml/2009/9/main" objectType="CheckBox" fmlaLink="$R$471" lockText="1"/>
</file>

<file path=xl/ctrlProps/ctrlProp248.xml><?xml version="1.0" encoding="utf-8"?>
<formControlPr xmlns="http://schemas.microsoft.com/office/spreadsheetml/2009/9/main" objectType="CheckBox" fmlaLink="$R$472" lockText="1"/>
</file>

<file path=xl/ctrlProps/ctrlProp249.xml><?xml version="1.0" encoding="utf-8"?>
<formControlPr xmlns="http://schemas.microsoft.com/office/spreadsheetml/2009/9/main" objectType="CheckBox" fmlaLink="$R$473"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R$474"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CheckBox" fmlaLink="$R$468" lockText="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checked="Checked" firstButton="1" fmlaLink="$S$412"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checked="Checked" firstButton="1" fmlaLink="$S$413"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checked="Checked" firstButton="1" fmlaLink="$S$415"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S$416"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Radio" checked="Checked" firstButton="1" fmlaLink="$Z$482"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checked="Checked" firstButton="1" fmlaLink="$Z$497"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R$579"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R$580"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R$581"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R$588" lockText="1"/>
</file>

<file path=xl/ctrlProps/ctrlProp289.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checked="Checked" firstButton="1" fmlaLink="$R$385"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CheckBox" fmlaLink="$R$281" lockText="1"/>
</file>

<file path=xl/ctrlProps/ctrlProp295.xml><?xml version="1.0" encoding="utf-8"?>
<formControlPr xmlns="http://schemas.microsoft.com/office/spreadsheetml/2009/9/main" objectType="CheckBox" fmlaLink="$R$282" lockText="1"/>
</file>

<file path=xl/ctrlProps/ctrlProp296.xml><?xml version="1.0" encoding="utf-8"?>
<formControlPr xmlns="http://schemas.microsoft.com/office/spreadsheetml/2009/9/main" objectType="CheckBox" fmlaLink="$R$283" lockText="1"/>
</file>

<file path=xl/ctrlProps/ctrlProp297.xml><?xml version="1.0" encoding="utf-8"?>
<formControlPr xmlns="http://schemas.microsoft.com/office/spreadsheetml/2009/9/main" objectType="CheckBox" fmlaLink="$R$284" lockText="1"/>
</file>

<file path=xl/ctrlProps/ctrlProp298.xml><?xml version="1.0" encoding="utf-8"?>
<formControlPr xmlns="http://schemas.microsoft.com/office/spreadsheetml/2009/9/main" objectType="CheckBox" fmlaLink="$R$285" lockText="1"/>
</file>

<file path=xl/ctrlProps/ctrlProp299.xml><?xml version="1.0" encoding="utf-8"?>
<formControlPr xmlns="http://schemas.microsoft.com/office/spreadsheetml/2009/9/main" objectType="CheckBox" fmlaLink="$R$287"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CheckBox" fmlaLink="$R$288" lockText="1"/>
</file>

<file path=xl/ctrlProps/ctrlProp301.xml><?xml version="1.0" encoding="utf-8"?>
<formControlPr xmlns="http://schemas.microsoft.com/office/spreadsheetml/2009/9/main" objectType="CheckBox" fmlaLink="$R$289" lockText="1"/>
</file>

<file path=xl/ctrlProps/ctrlProp302.xml><?xml version="1.0" encoding="utf-8"?>
<formControlPr xmlns="http://schemas.microsoft.com/office/spreadsheetml/2009/9/main" objectType="CheckBox" fmlaLink="$R$290" lockText="1"/>
</file>

<file path=xl/ctrlProps/ctrlProp303.xml><?xml version="1.0" encoding="utf-8"?>
<formControlPr xmlns="http://schemas.microsoft.com/office/spreadsheetml/2009/9/main" objectType="CheckBox" fmlaLink="$R$291" lockText="1"/>
</file>

<file path=xl/ctrlProps/ctrlProp304.xml><?xml version="1.0" encoding="utf-8"?>
<formControlPr xmlns="http://schemas.microsoft.com/office/spreadsheetml/2009/9/main" objectType="CheckBox" fmlaLink="$R$293" lockText="1"/>
</file>

<file path=xl/ctrlProps/ctrlProp305.xml><?xml version="1.0" encoding="utf-8"?>
<formControlPr xmlns="http://schemas.microsoft.com/office/spreadsheetml/2009/9/main" objectType="CheckBox" fmlaLink="$R$294" lockText="1"/>
</file>

<file path=xl/ctrlProps/ctrlProp306.xml><?xml version="1.0" encoding="utf-8"?>
<formControlPr xmlns="http://schemas.microsoft.com/office/spreadsheetml/2009/9/main" objectType="CheckBox" fmlaLink="$R$295" lockText="1"/>
</file>

<file path=xl/ctrlProps/ctrlProp307.xml><?xml version="1.0" encoding="utf-8"?>
<formControlPr xmlns="http://schemas.microsoft.com/office/spreadsheetml/2009/9/main" objectType="CheckBox" fmlaLink="$R$296" lockText="1"/>
</file>

<file path=xl/ctrlProps/ctrlProp308.xml><?xml version="1.0" encoding="utf-8"?>
<formControlPr xmlns="http://schemas.microsoft.com/office/spreadsheetml/2009/9/main" objectType="CheckBox" fmlaLink="$R$297" lockText="1"/>
</file>

<file path=xl/ctrlProps/ctrlProp309.xml><?xml version="1.0" encoding="utf-8"?>
<formControlPr xmlns="http://schemas.microsoft.com/office/spreadsheetml/2009/9/main" objectType="CheckBox" fmlaLink="$R$301"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CheckBox" fmlaLink="$R$302" lockText="1"/>
</file>

<file path=xl/ctrlProps/ctrlProp311.xml><?xml version="1.0" encoding="utf-8"?>
<formControlPr xmlns="http://schemas.microsoft.com/office/spreadsheetml/2009/9/main" objectType="CheckBox" fmlaLink="$R$309" lockText="1"/>
</file>

<file path=xl/ctrlProps/ctrlProp312.xml><?xml version="1.0" encoding="utf-8"?>
<formControlPr xmlns="http://schemas.microsoft.com/office/spreadsheetml/2009/9/main" objectType="CheckBox" fmlaLink="$R$310" lockText="1"/>
</file>

<file path=xl/ctrlProps/ctrlProp313.xml><?xml version="1.0" encoding="utf-8"?>
<formControlPr xmlns="http://schemas.microsoft.com/office/spreadsheetml/2009/9/main" objectType="CheckBox" fmlaLink="$R$311" lockText="1"/>
</file>

<file path=xl/ctrlProps/ctrlProp314.xml><?xml version="1.0" encoding="utf-8"?>
<formControlPr xmlns="http://schemas.microsoft.com/office/spreadsheetml/2009/9/main" objectType="CheckBox" fmlaLink="$R$312" lockText="1"/>
</file>

<file path=xl/ctrlProps/ctrlProp315.xml><?xml version="1.0" encoding="utf-8"?>
<formControlPr xmlns="http://schemas.microsoft.com/office/spreadsheetml/2009/9/main" objectType="CheckBox" fmlaLink="$R$313" lockText="1"/>
</file>

<file path=xl/ctrlProps/ctrlProp316.xml><?xml version="1.0" encoding="utf-8"?>
<formControlPr xmlns="http://schemas.microsoft.com/office/spreadsheetml/2009/9/main" objectType="CheckBox" fmlaLink="$R$314" lockText="1"/>
</file>

<file path=xl/ctrlProps/ctrlProp317.xml><?xml version="1.0" encoding="utf-8"?>
<formControlPr xmlns="http://schemas.microsoft.com/office/spreadsheetml/2009/9/main" objectType="CheckBox" fmlaLink="$R$315" lockText="1"/>
</file>

<file path=xl/ctrlProps/ctrlProp318.xml><?xml version="1.0" encoding="utf-8"?>
<formControlPr xmlns="http://schemas.microsoft.com/office/spreadsheetml/2009/9/main" objectType="CheckBox" fmlaLink="$R$316" lockText="1"/>
</file>

<file path=xl/ctrlProps/ctrlProp319.xml><?xml version="1.0" encoding="utf-8"?>
<formControlPr xmlns="http://schemas.microsoft.com/office/spreadsheetml/2009/9/main" objectType="CheckBox" fmlaLink="$R$317"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CheckBox" fmlaLink="$R$319" lockText="1"/>
</file>

<file path=xl/ctrlProps/ctrlProp321.xml><?xml version="1.0" encoding="utf-8"?>
<formControlPr xmlns="http://schemas.microsoft.com/office/spreadsheetml/2009/9/main" objectType="CheckBox" fmlaLink="$R$321" lockText="1"/>
</file>

<file path=xl/ctrlProps/ctrlProp322.xml><?xml version="1.0" encoding="utf-8"?>
<formControlPr xmlns="http://schemas.microsoft.com/office/spreadsheetml/2009/9/main" objectType="CheckBox" fmlaLink="$R$322" lockText="1"/>
</file>

<file path=xl/ctrlProps/ctrlProp323.xml><?xml version="1.0" encoding="utf-8"?>
<formControlPr xmlns="http://schemas.microsoft.com/office/spreadsheetml/2009/9/main" objectType="CheckBox" fmlaLink="$R$323" lockText="1"/>
</file>

<file path=xl/ctrlProps/ctrlProp324.xml><?xml version="1.0" encoding="utf-8"?>
<formControlPr xmlns="http://schemas.microsoft.com/office/spreadsheetml/2009/9/main" objectType="CheckBox" fmlaLink="$R$324" lockText="1"/>
</file>

<file path=xl/ctrlProps/ctrlProp325.xml><?xml version="1.0" encoding="utf-8"?>
<formControlPr xmlns="http://schemas.microsoft.com/office/spreadsheetml/2009/9/main" objectType="CheckBox" fmlaLink="$R$325" lockText="1"/>
</file>

<file path=xl/ctrlProps/ctrlProp326.xml><?xml version="1.0" encoding="utf-8"?>
<formControlPr xmlns="http://schemas.microsoft.com/office/spreadsheetml/2009/9/main" objectType="CheckBox" fmlaLink="$R$326" lockText="1"/>
</file>

<file path=xl/ctrlProps/ctrlProp327.xml><?xml version="1.0" encoding="utf-8"?>
<formControlPr xmlns="http://schemas.microsoft.com/office/spreadsheetml/2009/9/main" objectType="CheckBox" fmlaLink="$R$327" lockText="1"/>
</file>

<file path=xl/ctrlProps/ctrlProp328.xml><?xml version="1.0" encoding="utf-8"?>
<formControlPr xmlns="http://schemas.microsoft.com/office/spreadsheetml/2009/9/main" objectType="CheckBox" fmlaLink="$R$330" lockText="1"/>
</file>

<file path=xl/ctrlProps/ctrlProp329.xml><?xml version="1.0" encoding="utf-8"?>
<formControlPr xmlns="http://schemas.microsoft.com/office/spreadsheetml/2009/9/main" objectType="CheckBox" fmlaLink="$R$331" lockText="1"/>
</file>

<file path=xl/ctrlProps/ctrlProp33.xml><?xml version="1.0" encoding="utf-8"?>
<formControlPr xmlns="http://schemas.microsoft.com/office/spreadsheetml/2009/9/main" objectType="CheckBox" fmlaLink="$R$446" lockText="1"/>
</file>

<file path=xl/ctrlProps/ctrlProp330.xml><?xml version="1.0" encoding="utf-8"?>
<formControlPr xmlns="http://schemas.microsoft.com/office/spreadsheetml/2009/9/main" objectType="CheckBox" fmlaLink="$R$332" lockText="1"/>
</file>

<file path=xl/ctrlProps/ctrlProp331.xml><?xml version="1.0" encoding="utf-8"?>
<formControlPr xmlns="http://schemas.microsoft.com/office/spreadsheetml/2009/9/main" objectType="CheckBox" fmlaLink="$R$333" lockText="1"/>
</file>

<file path=xl/ctrlProps/ctrlProp332.xml><?xml version="1.0" encoding="utf-8"?>
<formControlPr xmlns="http://schemas.microsoft.com/office/spreadsheetml/2009/9/main" objectType="CheckBox" fmlaLink="$R$334" lockText="1"/>
</file>

<file path=xl/ctrlProps/ctrlProp333.xml><?xml version="1.0" encoding="utf-8"?>
<formControlPr xmlns="http://schemas.microsoft.com/office/spreadsheetml/2009/9/main" objectType="CheckBox" fmlaLink="$R$336" lockText="1"/>
</file>

<file path=xl/ctrlProps/ctrlProp334.xml><?xml version="1.0" encoding="utf-8"?>
<formControlPr xmlns="http://schemas.microsoft.com/office/spreadsheetml/2009/9/main" objectType="CheckBox" fmlaLink="$R$298" lockText="1"/>
</file>

<file path=xl/ctrlProps/ctrlProp335.xml><?xml version="1.0" encoding="utf-8"?>
<formControlPr xmlns="http://schemas.microsoft.com/office/spreadsheetml/2009/9/main" objectType="CheckBox" fmlaLink="$R$308" lockText="1"/>
</file>

<file path=xl/ctrlProps/ctrlProp336.xml><?xml version="1.0" encoding="utf-8"?>
<formControlPr xmlns="http://schemas.microsoft.com/office/spreadsheetml/2009/9/main" objectType="CheckBox" fmlaLink="$R$300" lockText="1"/>
</file>

<file path=xl/ctrlProps/ctrlProp337.xml><?xml version="1.0" encoding="utf-8"?>
<formControlPr xmlns="http://schemas.microsoft.com/office/spreadsheetml/2009/9/main" objectType="CheckBox" fmlaLink="$R$329" lockText="1"/>
</file>

<file path=xl/ctrlProps/ctrlProp338.xml><?xml version="1.0" encoding="utf-8"?>
<formControlPr xmlns="http://schemas.microsoft.com/office/spreadsheetml/2009/9/main" objectType="CheckBox" fmlaLink="$S$68" lockText="1"/>
</file>

<file path=xl/ctrlProps/ctrlProp339.xml><?xml version="1.0" encoding="utf-8"?>
<formControlPr xmlns="http://schemas.microsoft.com/office/spreadsheetml/2009/9/main" objectType="CheckBox" fmlaLink="$S$69" lockText="1"/>
</file>

<file path=xl/ctrlProps/ctrlProp34.xml><?xml version="1.0" encoding="utf-8"?>
<formControlPr xmlns="http://schemas.microsoft.com/office/spreadsheetml/2009/9/main" objectType="CheckBox" fmlaLink="$R$447" lockText="1"/>
</file>

<file path=xl/ctrlProps/ctrlProp340.xml><?xml version="1.0" encoding="utf-8"?>
<formControlPr xmlns="http://schemas.microsoft.com/office/spreadsheetml/2009/9/main" objectType="CheckBox" fmlaLink="$S$70" lockText="1"/>
</file>

<file path=xl/ctrlProps/ctrlProp341.xml><?xml version="1.0" encoding="utf-8"?>
<formControlPr xmlns="http://schemas.microsoft.com/office/spreadsheetml/2009/9/main" objectType="CheckBox" fmlaLink="$S$108" lockText="1"/>
</file>

<file path=xl/ctrlProps/ctrlProp342.xml><?xml version="1.0" encoding="utf-8"?>
<formControlPr xmlns="http://schemas.microsoft.com/office/spreadsheetml/2009/9/main" objectType="CheckBox" fmlaLink="$S$109" lockText="1"/>
</file>

<file path=xl/ctrlProps/ctrlProp343.xml><?xml version="1.0" encoding="utf-8"?>
<formControlPr xmlns="http://schemas.microsoft.com/office/spreadsheetml/2009/9/main" objectType="CheckBox" fmlaLink="$S$110" lockText="1"/>
</file>

<file path=xl/ctrlProps/ctrlProp344.xml><?xml version="1.0" encoding="utf-8"?>
<formControlPr xmlns="http://schemas.microsoft.com/office/spreadsheetml/2009/9/main" objectType="CheckBox" fmlaLink="$S$148" lockText="1"/>
</file>

<file path=xl/ctrlProps/ctrlProp345.xml><?xml version="1.0" encoding="utf-8"?>
<formControlPr xmlns="http://schemas.microsoft.com/office/spreadsheetml/2009/9/main" objectType="CheckBox" fmlaLink="$S$149" lockText="1"/>
</file>

<file path=xl/ctrlProps/ctrlProp346.xml><?xml version="1.0" encoding="utf-8"?>
<formControlPr xmlns="http://schemas.microsoft.com/office/spreadsheetml/2009/9/main" objectType="CheckBox" fmlaLink="$S$150" lockText="1"/>
</file>

<file path=xl/ctrlProps/ctrlProp347.xml><?xml version="1.0" encoding="utf-8"?>
<formControlPr xmlns="http://schemas.microsoft.com/office/spreadsheetml/2009/9/main" objectType="CheckBox" fmlaLink="$S$188" lockText="1"/>
</file>

<file path=xl/ctrlProps/ctrlProp348.xml><?xml version="1.0" encoding="utf-8"?>
<formControlPr xmlns="http://schemas.microsoft.com/office/spreadsheetml/2009/9/main" objectType="CheckBox" fmlaLink="$S$189" lockText="1"/>
</file>

<file path=xl/ctrlProps/ctrlProp349.xml><?xml version="1.0" encoding="utf-8"?>
<formControlPr xmlns="http://schemas.microsoft.com/office/spreadsheetml/2009/9/main" objectType="CheckBox" fmlaLink="$S$190" lockText="1"/>
</file>

<file path=xl/ctrlProps/ctrlProp35.xml><?xml version="1.0" encoding="utf-8"?>
<formControlPr xmlns="http://schemas.microsoft.com/office/spreadsheetml/2009/9/main" objectType="CheckBox" fmlaLink="$R$448" lockText="1"/>
</file>

<file path=xl/ctrlProps/ctrlProp350.xml><?xml version="1.0" encoding="utf-8"?>
<formControlPr xmlns="http://schemas.microsoft.com/office/spreadsheetml/2009/9/main" objectType="CheckBox" fmlaLink="$S$69" lockText="1"/>
</file>

<file path=xl/ctrlProps/ctrlProp351.xml><?xml version="1.0" encoding="utf-8"?>
<formControlPr xmlns="http://schemas.microsoft.com/office/spreadsheetml/2009/9/main" objectType="CheckBox" fmlaLink="$S$70" lockText="1"/>
</file>

<file path=xl/ctrlProps/ctrlProp352.xml><?xml version="1.0" encoding="utf-8"?>
<formControlPr xmlns="http://schemas.microsoft.com/office/spreadsheetml/2009/9/main" objectType="CheckBox" fmlaLink="$S$30" lockText="1"/>
</file>

<file path=xl/ctrlProps/ctrlProp353.xml><?xml version="1.0" encoding="utf-8"?>
<formControlPr xmlns="http://schemas.microsoft.com/office/spreadsheetml/2009/9/main" objectType="CheckBox" fmlaLink="$S$31" lockText="1"/>
</file>

<file path=xl/ctrlProps/ctrlProp354.xml><?xml version="1.0" encoding="utf-8"?>
<formControlPr xmlns="http://schemas.microsoft.com/office/spreadsheetml/2009/9/main" objectType="CheckBox" fmlaLink="$R$208" lockText="1"/>
</file>

<file path=xl/ctrlProps/ctrlProp355.xml><?xml version="1.0" encoding="utf-8"?>
<formControlPr xmlns="http://schemas.microsoft.com/office/spreadsheetml/2009/9/main" objectType="CheckBox" fmlaLink="$R$209" lockText="1"/>
</file>

<file path=xl/ctrlProps/ctrlProp356.xml><?xml version="1.0" encoding="utf-8"?>
<formControlPr xmlns="http://schemas.microsoft.com/office/spreadsheetml/2009/9/main" objectType="CheckBox" fmlaLink="$R$210" lockText="1"/>
</file>

<file path=xl/ctrlProps/ctrlProp357.xml><?xml version="1.0" encoding="utf-8"?>
<formControlPr xmlns="http://schemas.microsoft.com/office/spreadsheetml/2009/9/main" objectType="CheckBox" fmlaLink="$R$211" lockText="1"/>
</file>

<file path=xl/ctrlProps/ctrlProp358.xml><?xml version="1.0" encoding="utf-8"?>
<formControlPr xmlns="http://schemas.microsoft.com/office/spreadsheetml/2009/9/main" objectType="CheckBox" fmlaLink="$R$212" lockText="1"/>
</file>

<file path=xl/ctrlProps/ctrlProp359.xml><?xml version="1.0" encoding="utf-8"?>
<formControlPr xmlns="http://schemas.microsoft.com/office/spreadsheetml/2009/9/main" objectType="CheckBox" fmlaLink="$R$215" lockText="1"/>
</file>

<file path=xl/ctrlProps/ctrlProp36.xml><?xml version="1.0" encoding="utf-8"?>
<formControlPr xmlns="http://schemas.microsoft.com/office/spreadsheetml/2009/9/main" objectType="CheckBox" fmlaLink="$R$449" lockText="1"/>
</file>

<file path=xl/ctrlProps/ctrlProp360.xml><?xml version="1.0" encoding="utf-8"?>
<formControlPr xmlns="http://schemas.microsoft.com/office/spreadsheetml/2009/9/main" objectType="CheckBox" fmlaLink="$R$216" lockText="1"/>
</file>

<file path=xl/ctrlProps/ctrlProp361.xml><?xml version="1.0" encoding="utf-8"?>
<formControlPr xmlns="http://schemas.microsoft.com/office/spreadsheetml/2009/9/main" objectType="CheckBox" fmlaLink="$R$217" lockText="1"/>
</file>

<file path=xl/ctrlProps/ctrlProp362.xml><?xml version="1.0" encoding="utf-8"?>
<formControlPr xmlns="http://schemas.microsoft.com/office/spreadsheetml/2009/9/main" objectType="CheckBox" fmlaLink="$R$218" lockText="1"/>
</file>

<file path=xl/ctrlProps/ctrlProp363.xml><?xml version="1.0" encoding="utf-8"?>
<formControlPr xmlns="http://schemas.microsoft.com/office/spreadsheetml/2009/9/main" objectType="CheckBox" fmlaLink="$R$219" lockText="1"/>
</file>

<file path=xl/ctrlProps/ctrlProp364.xml><?xml version="1.0" encoding="utf-8"?>
<formControlPr xmlns="http://schemas.microsoft.com/office/spreadsheetml/2009/9/main" objectType="CheckBox" fmlaLink="$R$248" lockText="1"/>
</file>

<file path=xl/ctrlProps/ctrlProp365.xml><?xml version="1.0" encoding="utf-8"?>
<formControlPr xmlns="http://schemas.microsoft.com/office/spreadsheetml/2009/9/main" objectType="CheckBox" fmlaLink="$R$250" lockText="1"/>
</file>

<file path=xl/ctrlProps/ctrlProp366.xml><?xml version="1.0" encoding="utf-8"?>
<formControlPr xmlns="http://schemas.microsoft.com/office/spreadsheetml/2009/9/main" objectType="CheckBox" fmlaLink="$R$257" lockText="1"/>
</file>

<file path=xl/ctrlProps/ctrlProp367.xml><?xml version="1.0" encoding="utf-8"?>
<formControlPr xmlns="http://schemas.microsoft.com/office/spreadsheetml/2009/9/main" objectType="CheckBox" fmlaLink="$R$258" lockText="1"/>
</file>

<file path=xl/ctrlProps/ctrlProp368.xml><?xml version="1.0" encoding="utf-8"?>
<formControlPr xmlns="http://schemas.microsoft.com/office/spreadsheetml/2009/9/main" objectType="CheckBox" fmlaLink="$R$259" lockText="1"/>
</file>

<file path=xl/ctrlProps/ctrlProp369.xml><?xml version="1.0" encoding="utf-8"?>
<formControlPr xmlns="http://schemas.microsoft.com/office/spreadsheetml/2009/9/main" objectType="CheckBox" fmlaLink="$R$260" lockText="1"/>
</file>

<file path=xl/ctrlProps/ctrlProp37.xml><?xml version="1.0" encoding="utf-8"?>
<formControlPr xmlns="http://schemas.microsoft.com/office/spreadsheetml/2009/9/main" objectType="CheckBox" fmlaLink="$R$450" lockText="1"/>
</file>

<file path=xl/ctrlProps/ctrlProp370.xml><?xml version="1.0" encoding="utf-8"?>
<formControlPr xmlns="http://schemas.microsoft.com/office/spreadsheetml/2009/9/main" objectType="CheckBox" fmlaLink="$R$261" lockText="1"/>
</file>

<file path=xl/ctrlProps/ctrlProp371.xml><?xml version="1.0" encoding="utf-8"?>
<formControlPr xmlns="http://schemas.microsoft.com/office/spreadsheetml/2009/9/main" objectType="CheckBox" fmlaLink="$R$262" lockText="1"/>
</file>

<file path=xl/ctrlProps/ctrlProp372.xml><?xml version="1.0" encoding="utf-8"?>
<formControlPr xmlns="http://schemas.microsoft.com/office/spreadsheetml/2009/9/main" objectType="CheckBox" fmlaLink="$R$263" lockText="1"/>
</file>

<file path=xl/ctrlProps/ctrlProp373.xml><?xml version="1.0" encoding="utf-8"?>
<formControlPr xmlns="http://schemas.microsoft.com/office/spreadsheetml/2009/9/main" objectType="Radio" checked="Checked" firstButton="1" fmlaLink="$R$413"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R$417" lockText="1"/>
</file>

<file path=xl/ctrlProps/ctrlProp38.xml><?xml version="1.0" encoding="utf-8"?>
<formControlPr xmlns="http://schemas.microsoft.com/office/spreadsheetml/2009/9/main" objectType="CheckBox" fmlaLink="$R$454" lockText="1"/>
</file>

<file path=xl/ctrlProps/ctrlProp380.xml><?xml version="1.0" encoding="utf-8"?>
<formControlPr xmlns="http://schemas.microsoft.com/office/spreadsheetml/2009/9/main" objectType="CheckBox" fmlaLink="$R$418" lockText="1"/>
</file>

<file path=xl/ctrlProps/ctrlProp381.xml><?xml version="1.0" encoding="utf-8"?>
<formControlPr xmlns="http://schemas.microsoft.com/office/spreadsheetml/2009/9/main" objectType="CheckBox" fmlaLink="$R$430" lockText="1"/>
</file>

<file path=xl/ctrlProps/ctrlProp382.xml><?xml version="1.0" encoding="utf-8"?>
<formControlPr xmlns="http://schemas.microsoft.com/office/spreadsheetml/2009/9/main" objectType="CheckBox" fmlaLink="$R$431" lockText="1"/>
</file>

<file path=xl/ctrlProps/ctrlProp383.xml><?xml version="1.0" encoding="utf-8"?>
<formControlPr xmlns="http://schemas.microsoft.com/office/spreadsheetml/2009/9/main" objectType="CheckBox" fmlaLink="$R$432" lockText="1"/>
</file>

<file path=xl/ctrlProps/ctrlProp384.xml><?xml version="1.0" encoding="utf-8"?>
<formControlPr xmlns="http://schemas.microsoft.com/office/spreadsheetml/2009/9/main" objectType="CheckBox" fmlaLink="$R$433" lockText="1"/>
</file>

<file path=xl/ctrlProps/ctrlProp385.xml><?xml version="1.0" encoding="utf-8"?>
<formControlPr xmlns="http://schemas.microsoft.com/office/spreadsheetml/2009/9/main" objectType="CheckBox" fmlaLink="$R$434" lockText="1"/>
</file>

<file path=xl/ctrlProps/ctrlProp386.xml><?xml version="1.0" encoding="utf-8"?>
<formControlPr xmlns="http://schemas.microsoft.com/office/spreadsheetml/2009/9/main" objectType="CheckBox" fmlaLink="$R$435" lockText="1"/>
</file>

<file path=xl/ctrlProps/ctrlProp387.xml><?xml version="1.0" encoding="utf-8"?>
<formControlPr xmlns="http://schemas.microsoft.com/office/spreadsheetml/2009/9/main" objectType="CheckBox" fmlaLink="$R$436" lockText="1"/>
</file>

<file path=xl/ctrlProps/ctrlProp388.xml><?xml version="1.0" encoding="utf-8"?>
<formControlPr xmlns="http://schemas.microsoft.com/office/spreadsheetml/2009/9/main" objectType="CheckBox" fmlaLink="$R$244" lockText="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R$455" lockText="1"/>
</file>

<file path=xl/ctrlProps/ctrlProp390.xml><?xml version="1.0" encoding="utf-8"?>
<formControlPr xmlns="http://schemas.microsoft.com/office/spreadsheetml/2009/9/main" objectType="Radio" firstButton="1" fmlaLink="$Z$296"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checked="Checked"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Z$295"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56"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fmlaLink="$Z$29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R$457" lockText="1"/>
</file>

<file path=xl/ctrlProps/ctrlProp410.xml><?xml version="1.0" encoding="utf-8"?>
<formControlPr xmlns="http://schemas.microsoft.com/office/spreadsheetml/2009/9/main" objectType="Radio" checked="Checked" firstButton="1" fmlaLink="$S$24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254"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S$267" lockText="1"/>
</file>

<file path=xl/ctrlProps/ctrlProp418.xml><?xml version="1.0" encoding="utf-8"?>
<formControlPr xmlns="http://schemas.microsoft.com/office/spreadsheetml/2009/9/main" objectType="Radio" checked="Checked" lockText="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R$460" lockText="1"/>
</file>

<file path=xl/ctrlProps/ctrlProp420.xml><?xml version="1.0" encoding="utf-8"?>
<formControlPr xmlns="http://schemas.microsoft.com/office/spreadsheetml/2009/9/main" objectType="Radio" checked="Checked" firstButton="1" fmlaLink="$R$404"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R$426"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checked="Checked" lockText="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R$461" lockText="1"/>
</file>

<file path=xl/ctrlProps/ctrlProp430.xml><?xml version="1.0" encoding="utf-8"?>
<formControlPr xmlns="http://schemas.microsoft.com/office/spreadsheetml/2009/9/main" objectType="Radio" firstButton="1" fmlaLink="$R$439" lockText="1"/>
</file>

<file path=xl/ctrlProps/ctrlProp431.xml><?xml version="1.0" encoding="utf-8"?>
<formControlPr xmlns="http://schemas.microsoft.com/office/spreadsheetml/2009/9/main" objectType="Radio" checked="Checked" lockText="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R$443" lockText="1"/>
</file>

<file path=xl/ctrlProps/ctrlProp434.xml><?xml version="1.0" encoding="utf-8"?>
<formControlPr xmlns="http://schemas.microsoft.com/office/spreadsheetml/2009/9/main" objectType="Radio" checked="Checked" lockText="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checked="Checked" firstButton="1" fmlaLink="$R$373"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CheckBox" fmlaLink="$R$281" lockText="1"/>
</file>

<file path=xl/ctrlProps/ctrlProp439.xml><?xml version="1.0" encoding="utf-8"?>
<formControlPr xmlns="http://schemas.microsoft.com/office/spreadsheetml/2009/9/main" objectType="CheckBox" fmlaLink="$R$282" lockText="1"/>
</file>

<file path=xl/ctrlProps/ctrlProp44.xml><?xml version="1.0" encoding="utf-8"?>
<formControlPr xmlns="http://schemas.microsoft.com/office/spreadsheetml/2009/9/main" objectType="CheckBox" fmlaLink="$R$462" lockText="1"/>
</file>

<file path=xl/ctrlProps/ctrlProp440.xml><?xml version="1.0" encoding="utf-8"?>
<formControlPr xmlns="http://schemas.microsoft.com/office/spreadsheetml/2009/9/main" objectType="CheckBox" fmlaLink="$R$283" lockText="1"/>
</file>

<file path=xl/ctrlProps/ctrlProp441.xml><?xml version="1.0" encoding="utf-8"?>
<formControlPr xmlns="http://schemas.microsoft.com/office/spreadsheetml/2009/9/main" objectType="CheckBox" fmlaLink="$R$284" lockText="1"/>
</file>

<file path=xl/ctrlProps/ctrlProp442.xml><?xml version="1.0" encoding="utf-8"?>
<formControlPr xmlns="http://schemas.microsoft.com/office/spreadsheetml/2009/9/main" objectType="CheckBox" fmlaLink="$R$285" lockText="1"/>
</file>

<file path=xl/ctrlProps/ctrlProp443.xml><?xml version="1.0" encoding="utf-8"?>
<formControlPr xmlns="http://schemas.microsoft.com/office/spreadsheetml/2009/9/main" objectType="CheckBox" fmlaLink="$R$287" lockText="1"/>
</file>

<file path=xl/ctrlProps/ctrlProp444.xml><?xml version="1.0" encoding="utf-8"?>
<formControlPr xmlns="http://schemas.microsoft.com/office/spreadsheetml/2009/9/main" objectType="CheckBox" fmlaLink="$R$288" lockText="1"/>
</file>

<file path=xl/ctrlProps/ctrlProp445.xml><?xml version="1.0" encoding="utf-8"?>
<formControlPr xmlns="http://schemas.microsoft.com/office/spreadsheetml/2009/9/main" objectType="CheckBox" fmlaLink="$R$289" lockText="1"/>
</file>

<file path=xl/ctrlProps/ctrlProp446.xml><?xml version="1.0" encoding="utf-8"?>
<formControlPr xmlns="http://schemas.microsoft.com/office/spreadsheetml/2009/9/main" objectType="CheckBox" fmlaLink="$R$290" lockText="1"/>
</file>

<file path=xl/ctrlProps/ctrlProp447.xml><?xml version="1.0" encoding="utf-8"?>
<formControlPr xmlns="http://schemas.microsoft.com/office/spreadsheetml/2009/9/main" objectType="CheckBox" fmlaLink="$R$291" lockText="1"/>
</file>

<file path=xl/ctrlProps/ctrlProp448.xml><?xml version="1.0" encoding="utf-8"?>
<formControlPr xmlns="http://schemas.microsoft.com/office/spreadsheetml/2009/9/main" objectType="CheckBox" fmlaLink="$R$293" lockText="1"/>
</file>

<file path=xl/ctrlProps/ctrlProp449.xml><?xml version="1.0" encoding="utf-8"?>
<formControlPr xmlns="http://schemas.microsoft.com/office/spreadsheetml/2009/9/main" objectType="CheckBox" fmlaLink="$R$294" lockText="1"/>
</file>

<file path=xl/ctrlProps/ctrlProp45.xml><?xml version="1.0" encoding="utf-8"?>
<formControlPr xmlns="http://schemas.microsoft.com/office/spreadsheetml/2009/9/main" objectType="CheckBox" fmlaLink="$R$463" lockText="1"/>
</file>

<file path=xl/ctrlProps/ctrlProp450.xml><?xml version="1.0" encoding="utf-8"?>
<formControlPr xmlns="http://schemas.microsoft.com/office/spreadsheetml/2009/9/main" objectType="CheckBox" fmlaLink="$R$295" lockText="1"/>
</file>

<file path=xl/ctrlProps/ctrlProp451.xml><?xml version="1.0" encoding="utf-8"?>
<formControlPr xmlns="http://schemas.microsoft.com/office/spreadsheetml/2009/9/main" objectType="CheckBox" fmlaLink="$R$296" lockText="1"/>
</file>

<file path=xl/ctrlProps/ctrlProp452.xml><?xml version="1.0" encoding="utf-8"?>
<formControlPr xmlns="http://schemas.microsoft.com/office/spreadsheetml/2009/9/main" objectType="CheckBox" fmlaLink="$R$297" lockText="1"/>
</file>

<file path=xl/ctrlProps/ctrlProp453.xml><?xml version="1.0" encoding="utf-8"?>
<formControlPr xmlns="http://schemas.microsoft.com/office/spreadsheetml/2009/9/main" objectType="CheckBox" fmlaLink="$R$301" lockText="1"/>
</file>

<file path=xl/ctrlProps/ctrlProp454.xml><?xml version="1.0" encoding="utf-8"?>
<formControlPr xmlns="http://schemas.microsoft.com/office/spreadsheetml/2009/9/main" objectType="CheckBox" fmlaLink="$R$302" lockText="1"/>
</file>

<file path=xl/ctrlProps/ctrlProp455.xml><?xml version="1.0" encoding="utf-8"?>
<formControlPr xmlns="http://schemas.microsoft.com/office/spreadsheetml/2009/9/main" objectType="CheckBox" fmlaLink="$R$309" lockText="1"/>
</file>

<file path=xl/ctrlProps/ctrlProp456.xml><?xml version="1.0" encoding="utf-8"?>
<formControlPr xmlns="http://schemas.microsoft.com/office/spreadsheetml/2009/9/main" objectType="CheckBox" fmlaLink="$R$310" lockText="1"/>
</file>

<file path=xl/ctrlProps/ctrlProp457.xml><?xml version="1.0" encoding="utf-8"?>
<formControlPr xmlns="http://schemas.microsoft.com/office/spreadsheetml/2009/9/main" objectType="CheckBox" fmlaLink="$R$311" lockText="1"/>
</file>

<file path=xl/ctrlProps/ctrlProp458.xml><?xml version="1.0" encoding="utf-8"?>
<formControlPr xmlns="http://schemas.microsoft.com/office/spreadsheetml/2009/9/main" objectType="CheckBox" fmlaLink="$R$312" lockText="1"/>
</file>

<file path=xl/ctrlProps/ctrlProp459.xml><?xml version="1.0" encoding="utf-8"?>
<formControlPr xmlns="http://schemas.microsoft.com/office/spreadsheetml/2009/9/main" objectType="CheckBox" fmlaLink="$R$313" lockText="1"/>
</file>

<file path=xl/ctrlProps/ctrlProp46.xml><?xml version="1.0" encoding="utf-8"?>
<formControlPr xmlns="http://schemas.microsoft.com/office/spreadsheetml/2009/9/main" objectType="CheckBox" fmlaLink="$R$464" lockText="1"/>
</file>

<file path=xl/ctrlProps/ctrlProp460.xml><?xml version="1.0" encoding="utf-8"?>
<formControlPr xmlns="http://schemas.microsoft.com/office/spreadsheetml/2009/9/main" objectType="CheckBox" fmlaLink="$R$314" lockText="1"/>
</file>

<file path=xl/ctrlProps/ctrlProp461.xml><?xml version="1.0" encoding="utf-8"?>
<formControlPr xmlns="http://schemas.microsoft.com/office/spreadsheetml/2009/9/main" objectType="CheckBox" fmlaLink="$R$315" lockText="1"/>
</file>

<file path=xl/ctrlProps/ctrlProp462.xml><?xml version="1.0" encoding="utf-8"?>
<formControlPr xmlns="http://schemas.microsoft.com/office/spreadsheetml/2009/9/main" objectType="CheckBox" fmlaLink="$R$316" lockText="1"/>
</file>

<file path=xl/ctrlProps/ctrlProp463.xml><?xml version="1.0" encoding="utf-8"?>
<formControlPr xmlns="http://schemas.microsoft.com/office/spreadsheetml/2009/9/main" objectType="CheckBox" fmlaLink="$R$317" lockText="1"/>
</file>

<file path=xl/ctrlProps/ctrlProp464.xml><?xml version="1.0" encoding="utf-8"?>
<formControlPr xmlns="http://schemas.microsoft.com/office/spreadsheetml/2009/9/main" objectType="CheckBox" fmlaLink="$R$319" lockText="1"/>
</file>

<file path=xl/ctrlProps/ctrlProp465.xml><?xml version="1.0" encoding="utf-8"?>
<formControlPr xmlns="http://schemas.microsoft.com/office/spreadsheetml/2009/9/main" objectType="CheckBox" fmlaLink="$R$321" lockText="1"/>
</file>

<file path=xl/ctrlProps/ctrlProp466.xml><?xml version="1.0" encoding="utf-8"?>
<formControlPr xmlns="http://schemas.microsoft.com/office/spreadsheetml/2009/9/main" objectType="CheckBox" fmlaLink="$R$322" lockText="1"/>
</file>

<file path=xl/ctrlProps/ctrlProp467.xml><?xml version="1.0" encoding="utf-8"?>
<formControlPr xmlns="http://schemas.microsoft.com/office/spreadsheetml/2009/9/main" objectType="CheckBox" fmlaLink="$R$323" lockText="1"/>
</file>

<file path=xl/ctrlProps/ctrlProp468.xml><?xml version="1.0" encoding="utf-8"?>
<formControlPr xmlns="http://schemas.microsoft.com/office/spreadsheetml/2009/9/main" objectType="CheckBox" fmlaLink="$R$324" lockText="1"/>
</file>

<file path=xl/ctrlProps/ctrlProp469.xml><?xml version="1.0" encoding="utf-8"?>
<formControlPr xmlns="http://schemas.microsoft.com/office/spreadsheetml/2009/9/main" objectType="CheckBox" fmlaLink="$R$325" lockText="1"/>
</file>

<file path=xl/ctrlProps/ctrlProp47.xml><?xml version="1.0" encoding="utf-8"?>
<formControlPr xmlns="http://schemas.microsoft.com/office/spreadsheetml/2009/9/main" objectType="CheckBox" fmlaLink="$R$475" lockText="1"/>
</file>

<file path=xl/ctrlProps/ctrlProp470.xml><?xml version="1.0" encoding="utf-8"?>
<formControlPr xmlns="http://schemas.microsoft.com/office/spreadsheetml/2009/9/main" objectType="CheckBox" fmlaLink="$R$326" lockText="1"/>
</file>

<file path=xl/ctrlProps/ctrlProp471.xml><?xml version="1.0" encoding="utf-8"?>
<formControlPr xmlns="http://schemas.microsoft.com/office/spreadsheetml/2009/9/main" objectType="CheckBox" fmlaLink="$R$327" lockText="1"/>
</file>

<file path=xl/ctrlProps/ctrlProp472.xml><?xml version="1.0" encoding="utf-8"?>
<formControlPr xmlns="http://schemas.microsoft.com/office/spreadsheetml/2009/9/main" objectType="CheckBox" fmlaLink="$R$330" lockText="1"/>
</file>

<file path=xl/ctrlProps/ctrlProp473.xml><?xml version="1.0" encoding="utf-8"?>
<formControlPr xmlns="http://schemas.microsoft.com/office/spreadsheetml/2009/9/main" objectType="CheckBox" fmlaLink="$R$331" lockText="1"/>
</file>

<file path=xl/ctrlProps/ctrlProp474.xml><?xml version="1.0" encoding="utf-8"?>
<formControlPr xmlns="http://schemas.microsoft.com/office/spreadsheetml/2009/9/main" objectType="CheckBox" fmlaLink="$R$332" lockText="1"/>
</file>

<file path=xl/ctrlProps/ctrlProp475.xml><?xml version="1.0" encoding="utf-8"?>
<formControlPr xmlns="http://schemas.microsoft.com/office/spreadsheetml/2009/9/main" objectType="CheckBox" fmlaLink="$R$333" lockText="1"/>
</file>

<file path=xl/ctrlProps/ctrlProp476.xml><?xml version="1.0" encoding="utf-8"?>
<formControlPr xmlns="http://schemas.microsoft.com/office/spreadsheetml/2009/9/main" objectType="CheckBox" fmlaLink="$R$334" lockText="1"/>
</file>

<file path=xl/ctrlProps/ctrlProp477.xml><?xml version="1.0" encoding="utf-8"?>
<formControlPr xmlns="http://schemas.microsoft.com/office/spreadsheetml/2009/9/main" objectType="CheckBox" fmlaLink="$R$336" lockText="1"/>
</file>

<file path=xl/ctrlProps/ctrlProp478.xml><?xml version="1.0" encoding="utf-8"?>
<formControlPr xmlns="http://schemas.microsoft.com/office/spreadsheetml/2009/9/main" objectType="CheckBox" fmlaLink="$R$298" lockText="1"/>
</file>

<file path=xl/ctrlProps/ctrlProp479.xml><?xml version="1.0" encoding="utf-8"?>
<formControlPr xmlns="http://schemas.microsoft.com/office/spreadsheetml/2009/9/main" objectType="CheckBox" fmlaLink="$R$308" lockText="1"/>
</file>

<file path=xl/ctrlProps/ctrlProp48.xml><?xml version="1.0" encoding="utf-8"?>
<formControlPr xmlns="http://schemas.microsoft.com/office/spreadsheetml/2009/9/main" objectType="CheckBox" fmlaLink="$R$476" lockText="1"/>
</file>

<file path=xl/ctrlProps/ctrlProp480.xml><?xml version="1.0" encoding="utf-8"?>
<formControlPr xmlns="http://schemas.microsoft.com/office/spreadsheetml/2009/9/main" objectType="CheckBox" fmlaLink="$R$300" lockText="1"/>
</file>

<file path=xl/ctrlProps/ctrlProp481.xml><?xml version="1.0" encoding="utf-8"?>
<formControlPr xmlns="http://schemas.microsoft.com/office/spreadsheetml/2009/9/main" objectType="CheckBox" fmlaLink="$R$329" lockText="1"/>
</file>

<file path=xl/ctrlProps/ctrlProp482.xml><?xml version="1.0" encoding="utf-8"?>
<formControlPr xmlns="http://schemas.microsoft.com/office/spreadsheetml/2009/9/main" objectType="CheckBox" fmlaLink="$S$68" lockText="1"/>
</file>

<file path=xl/ctrlProps/ctrlProp483.xml><?xml version="1.0" encoding="utf-8"?>
<formControlPr xmlns="http://schemas.microsoft.com/office/spreadsheetml/2009/9/main" objectType="CheckBox" fmlaLink="$S$69" lockText="1"/>
</file>

<file path=xl/ctrlProps/ctrlProp484.xml><?xml version="1.0" encoding="utf-8"?>
<formControlPr xmlns="http://schemas.microsoft.com/office/spreadsheetml/2009/9/main" objectType="CheckBox" fmlaLink="$S$70" lockText="1"/>
</file>

<file path=xl/ctrlProps/ctrlProp485.xml><?xml version="1.0" encoding="utf-8"?>
<formControlPr xmlns="http://schemas.microsoft.com/office/spreadsheetml/2009/9/main" objectType="CheckBox" fmlaLink="$S$108" lockText="1"/>
</file>

<file path=xl/ctrlProps/ctrlProp486.xml><?xml version="1.0" encoding="utf-8"?>
<formControlPr xmlns="http://schemas.microsoft.com/office/spreadsheetml/2009/9/main" objectType="CheckBox" fmlaLink="$S$109" lockText="1"/>
</file>

<file path=xl/ctrlProps/ctrlProp487.xml><?xml version="1.0" encoding="utf-8"?>
<formControlPr xmlns="http://schemas.microsoft.com/office/spreadsheetml/2009/9/main" objectType="CheckBox" fmlaLink="$S$110" lockText="1"/>
</file>

<file path=xl/ctrlProps/ctrlProp488.xml><?xml version="1.0" encoding="utf-8"?>
<formControlPr xmlns="http://schemas.microsoft.com/office/spreadsheetml/2009/9/main" objectType="CheckBox" fmlaLink="$S$148" lockText="1"/>
</file>

<file path=xl/ctrlProps/ctrlProp489.xml><?xml version="1.0" encoding="utf-8"?>
<formControlPr xmlns="http://schemas.microsoft.com/office/spreadsheetml/2009/9/main" objectType="CheckBox" fmlaLink="$S$149" lockText="1"/>
</file>

<file path=xl/ctrlProps/ctrlProp49.xml><?xml version="1.0" encoding="utf-8"?>
<formControlPr xmlns="http://schemas.microsoft.com/office/spreadsheetml/2009/9/main" objectType="CheckBox" fmlaLink="$R$491" lockText="1"/>
</file>

<file path=xl/ctrlProps/ctrlProp490.xml><?xml version="1.0" encoding="utf-8"?>
<formControlPr xmlns="http://schemas.microsoft.com/office/spreadsheetml/2009/9/main" objectType="CheckBox" fmlaLink="$S$150" lockText="1"/>
</file>

<file path=xl/ctrlProps/ctrlProp491.xml><?xml version="1.0" encoding="utf-8"?>
<formControlPr xmlns="http://schemas.microsoft.com/office/spreadsheetml/2009/9/main" objectType="CheckBox" fmlaLink="$S$188" lockText="1"/>
</file>

<file path=xl/ctrlProps/ctrlProp492.xml><?xml version="1.0" encoding="utf-8"?>
<formControlPr xmlns="http://schemas.microsoft.com/office/spreadsheetml/2009/9/main" objectType="CheckBox" fmlaLink="$S$189" lockText="1"/>
</file>

<file path=xl/ctrlProps/ctrlProp493.xml><?xml version="1.0" encoding="utf-8"?>
<formControlPr xmlns="http://schemas.microsoft.com/office/spreadsheetml/2009/9/main" objectType="CheckBox" fmlaLink="$S$190" lockText="1"/>
</file>

<file path=xl/ctrlProps/ctrlProp494.xml><?xml version="1.0" encoding="utf-8"?>
<formControlPr xmlns="http://schemas.microsoft.com/office/spreadsheetml/2009/9/main" objectType="CheckBox" fmlaLink="$S$69" lockText="1"/>
</file>

<file path=xl/ctrlProps/ctrlProp495.xml><?xml version="1.0" encoding="utf-8"?>
<formControlPr xmlns="http://schemas.microsoft.com/office/spreadsheetml/2009/9/main" objectType="CheckBox" fmlaLink="$S$70" lockText="1"/>
</file>

<file path=xl/ctrlProps/ctrlProp496.xml><?xml version="1.0" encoding="utf-8"?>
<formControlPr xmlns="http://schemas.microsoft.com/office/spreadsheetml/2009/9/main" objectType="CheckBox" fmlaLink="$S$30" lockText="1"/>
</file>

<file path=xl/ctrlProps/ctrlProp497.xml><?xml version="1.0" encoding="utf-8"?>
<formControlPr xmlns="http://schemas.microsoft.com/office/spreadsheetml/2009/9/main" objectType="CheckBox" fmlaLink="$S$31" lockText="1"/>
</file>

<file path=xl/ctrlProps/ctrlProp498.xml><?xml version="1.0" encoding="utf-8"?>
<formControlPr xmlns="http://schemas.microsoft.com/office/spreadsheetml/2009/9/main" objectType="CheckBox" fmlaLink="$R$208" lockText="1"/>
</file>

<file path=xl/ctrlProps/ctrlProp499.xml><?xml version="1.0" encoding="utf-8"?>
<formControlPr xmlns="http://schemas.microsoft.com/office/spreadsheetml/2009/9/main" objectType="CheckBox" fmlaLink="$R$209"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67" lockText="1"/>
</file>

<file path=xl/ctrlProps/ctrlProp500.xml><?xml version="1.0" encoding="utf-8"?>
<formControlPr xmlns="http://schemas.microsoft.com/office/spreadsheetml/2009/9/main" objectType="CheckBox" fmlaLink="$R$210" lockText="1"/>
</file>

<file path=xl/ctrlProps/ctrlProp501.xml><?xml version="1.0" encoding="utf-8"?>
<formControlPr xmlns="http://schemas.microsoft.com/office/spreadsheetml/2009/9/main" objectType="CheckBox" fmlaLink="$R$211" lockText="1"/>
</file>

<file path=xl/ctrlProps/ctrlProp502.xml><?xml version="1.0" encoding="utf-8"?>
<formControlPr xmlns="http://schemas.microsoft.com/office/spreadsheetml/2009/9/main" objectType="CheckBox" fmlaLink="$R$212" lockText="1"/>
</file>

<file path=xl/ctrlProps/ctrlProp503.xml><?xml version="1.0" encoding="utf-8"?>
<formControlPr xmlns="http://schemas.microsoft.com/office/spreadsheetml/2009/9/main" objectType="CheckBox" fmlaLink="$R$215" lockText="1"/>
</file>

<file path=xl/ctrlProps/ctrlProp504.xml><?xml version="1.0" encoding="utf-8"?>
<formControlPr xmlns="http://schemas.microsoft.com/office/spreadsheetml/2009/9/main" objectType="CheckBox" fmlaLink="$R$216" lockText="1"/>
</file>

<file path=xl/ctrlProps/ctrlProp505.xml><?xml version="1.0" encoding="utf-8"?>
<formControlPr xmlns="http://schemas.microsoft.com/office/spreadsheetml/2009/9/main" objectType="CheckBox" fmlaLink="$R$217" lockText="1"/>
</file>

<file path=xl/ctrlProps/ctrlProp506.xml><?xml version="1.0" encoding="utf-8"?>
<formControlPr xmlns="http://schemas.microsoft.com/office/spreadsheetml/2009/9/main" objectType="CheckBox" fmlaLink="$R$218" lockText="1"/>
</file>

<file path=xl/ctrlProps/ctrlProp507.xml><?xml version="1.0" encoding="utf-8"?>
<formControlPr xmlns="http://schemas.microsoft.com/office/spreadsheetml/2009/9/main" objectType="CheckBox" fmlaLink="$R$219" lockText="1"/>
</file>

<file path=xl/ctrlProps/ctrlProp508.xml><?xml version="1.0" encoding="utf-8"?>
<formControlPr xmlns="http://schemas.microsoft.com/office/spreadsheetml/2009/9/main" objectType="CheckBox" fmlaLink="$R$248" lockText="1"/>
</file>

<file path=xl/ctrlProps/ctrlProp509.xml><?xml version="1.0" encoding="utf-8"?>
<formControlPr xmlns="http://schemas.microsoft.com/office/spreadsheetml/2009/9/main" objectType="CheckBox" fmlaLink="$R$250" lockText="1"/>
</file>

<file path=xl/ctrlProps/ctrlProp51.xml><?xml version="1.0" encoding="utf-8"?>
<formControlPr xmlns="http://schemas.microsoft.com/office/spreadsheetml/2009/9/main" objectType="CheckBox" fmlaLink="$R$490" lockText="1"/>
</file>

<file path=xl/ctrlProps/ctrlProp510.xml><?xml version="1.0" encoding="utf-8"?>
<formControlPr xmlns="http://schemas.microsoft.com/office/spreadsheetml/2009/9/main" objectType="CheckBox" fmlaLink="$R$257" lockText="1"/>
</file>

<file path=xl/ctrlProps/ctrlProp511.xml><?xml version="1.0" encoding="utf-8"?>
<formControlPr xmlns="http://schemas.microsoft.com/office/spreadsheetml/2009/9/main" objectType="CheckBox" fmlaLink="$R$258" lockText="1"/>
</file>

<file path=xl/ctrlProps/ctrlProp512.xml><?xml version="1.0" encoding="utf-8"?>
<formControlPr xmlns="http://schemas.microsoft.com/office/spreadsheetml/2009/9/main" objectType="CheckBox" fmlaLink="$R$259" lockText="1"/>
</file>

<file path=xl/ctrlProps/ctrlProp513.xml><?xml version="1.0" encoding="utf-8"?>
<formControlPr xmlns="http://schemas.microsoft.com/office/spreadsheetml/2009/9/main" objectType="CheckBox" fmlaLink="$R$260" lockText="1"/>
</file>

<file path=xl/ctrlProps/ctrlProp514.xml><?xml version="1.0" encoding="utf-8"?>
<formControlPr xmlns="http://schemas.microsoft.com/office/spreadsheetml/2009/9/main" objectType="CheckBox" fmlaLink="$R$261" lockText="1"/>
</file>

<file path=xl/ctrlProps/ctrlProp515.xml><?xml version="1.0" encoding="utf-8"?>
<formControlPr xmlns="http://schemas.microsoft.com/office/spreadsheetml/2009/9/main" objectType="CheckBox" fmlaLink="$R$262" lockText="1"/>
</file>

<file path=xl/ctrlProps/ctrlProp516.xml><?xml version="1.0" encoding="utf-8"?>
<formControlPr xmlns="http://schemas.microsoft.com/office/spreadsheetml/2009/9/main" objectType="CheckBox" fmlaLink="$R$263" lockText="1"/>
</file>

<file path=xl/ctrlProps/ctrlProp517.xml><?xml version="1.0" encoding="utf-8"?>
<formControlPr xmlns="http://schemas.microsoft.com/office/spreadsheetml/2009/9/main" objectType="CheckBox" fmlaLink="$R$417" lockText="1"/>
</file>

<file path=xl/ctrlProps/ctrlProp518.xml><?xml version="1.0" encoding="utf-8"?>
<formControlPr xmlns="http://schemas.microsoft.com/office/spreadsheetml/2009/9/main" objectType="CheckBox" fmlaLink="$R$418" lockText="1"/>
</file>

<file path=xl/ctrlProps/ctrlProp519.xml><?xml version="1.0" encoding="utf-8"?>
<formControlPr xmlns="http://schemas.microsoft.com/office/spreadsheetml/2009/9/main" objectType="CheckBox" fmlaLink="$R$430"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431" lockText="1"/>
</file>

<file path=xl/ctrlProps/ctrlProp521.xml><?xml version="1.0" encoding="utf-8"?>
<formControlPr xmlns="http://schemas.microsoft.com/office/spreadsheetml/2009/9/main" objectType="CheckBox" fmlaLink="$R$432" lockText="1"/>
</file>

<file path=xl/ctrlProps/ctrlProp522.xml><?xml version="1.0" encoding="utf-8"?>
<formControlPr xmlns="http://schemas.microsoft.com/office/spreadsheetml/2009/9/main" objectType="CheckBox" fmlaLink="$R$433" lockText="1"/>
</file>

<file path=xl/ctrlProps/ctrlProp523.xml><?xml version="1.0" encoding="utf-8"?>
<formControlPr xmlns="http://schemas.microsoft.com/office/spreadsheetml/2009/9/main" objectType="CheckBox" fmlaLink="$R$434" lockText="1"/>
</file>

<file path=xl/ctrlProps/ctrlProp524.xml><?xml version="1.0" encoding="utf-8"?>
<formControlPr xmlns="http://schemas.microsoft.com/office/spreadsheetml/2009/9/main" objectType="CheckBox" fmlaLink="$R$435" lockText="1"/>
</file>

<file path=xl/ctrlProps/ctrlProp525.xml><?xml version="1.0" encoding="utf-8"?>
<formControlPr xmlns="http://schemas.microsoft.com/office/spreadsheetml/2009/9/main" objectType="CheckBox" fmlaLink="$R$436" lockText="1"/>
</file>

<file path=xl/ctrlProps/ctrlProp526.xml><?xml version="1.0" encoding="utf-8"?>
<formControlPr xmlns="http://schemas.microsoft.com/office/spreadsheetml/2009/9/main" objectType="CheckBox" fmlaLink="$R$244"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checked="Checked" firstButton="1" fmlaLink="$Z$296"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Radio" lockText="1"/>
</file>

<file path=xl/ctrlProps/ctrlProp534.xml><?xml version="1.0" encoding="utf-8"?>
<formControlPr xmlns="http://schemas.microsoft.com/office/spreadsheetml/2009/9/main" objectType="Radio" firstButton="1"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Z$295"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checked="Checked" firstButton="1" fmlaLink="$Z$460" lockText="1"/>
</file>

<file path=xl/ctrlProps/ctrlProp540.xml><?xml version="1.0" encoding="utf-8"?>
<formControlPr xmlns="http://schemas.microsoft.com/office/spreadsheetml/2009/9/main" objectType="Radio" checked="Checked" firstButton="1" fmlaLink="$Z$297"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Radio" checked="Checked" firstButton="1" fmlaLink="$S$247" lockText="1"/>
</file>

<file path=xl/ctrlProps/ctrlProp549.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lockText="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S$254" lockText="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S$267"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R$40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Radio" lockText="1"/>
</file>

<file path=xl/ctrlProps/ctrlProp561.xml><?xml version="1.0" encoding="utf-8"?>
<formControlPr xmlns="http://schemas.microsoft.com/office/spreadsheetml/2009/9/main" objectType="Radio" checked="Checked" firstButton="1" fmlaLink="$R$4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Radio" lockText="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426"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CheckBox" fmlaLink="$R$469" lockText="1"/>
</file>

<file path=xl/ctrlProps/ctrlProp570.xml><?xml version="1.0" encoding="utf-8"?>
<formControlPr xmlns="http://schemas.microsoft.com/office/spreadsheetml/2009/9/main" objectType="Radio"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lockText="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R$439" lockText="1"/>
</file>

<file path=xl/ctrlProps/ctrlProp575.xml><?xml version="1.0" encoding="utf-8"?>
<formControlPr xmlns="http://schemas.microsoft.com/office/spreadsheetml/2009/9/main" objectType="Radio" checked="Checked" lockText="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R$443" lockText="1"/>
</file>

<file path=xl/ctrlProps/ctrlProp578.xml><?xml version="1.0" encoding="utf-8"?>
<formControlPr xmlns="http://schemas.microsoft.com/office/spreadsheetml/2009/9/main" objectType="Radio" checked="Checked" lockText="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R$470" lockText="1"/>
</file>

<file path=xl/ctrlProps/ctrlProp580.xml><?xml version="1.0" encoding="utf-8"?>
<formControlPr xmlns="http://schemas.microsoft.com/office/spreadsheetml/2009/9/main" objectType="Radio" checked="Checked" firstButton="1" fmlaLink="$R$373"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R$219" lockText="1"/>
</file>

<file path=xl/ctrlProps/ctrlProp583.xml><?xml version="1.0" encoding="utf-8"?>
<formControlPr xmlns="http://schemas.microsoft.com/office/spreadsheetml/2009/9/main" objectType="CheckBox" fmlaLink="$U$8" lockText="1"/>
</file>

<file path=xl/ctrlProps/ctrlProp584.xml><?xml version="1.0" encoding="utf-8"?>
<formControlPr xmlns="http://schemas.microsoft.com/office/spreadsheetml/2009/9/main" objectType="CheckBox" fmlaLink="$S$8" lockText="1"/>
</file>

<file path=xl/ctrlProps/ctrlProp585.xml><?xml version="1.0" encoding="utf-8"?>
<formControlPr xmlns="http://schemas.microsoft.com/office/spreadsheetml/2009/9/main" objectType="CheckBox" fmlaLink="$T$8" lockText="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S$5"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R$471" lockText="1"/>
</file>

<file path=xl/ctrlProps/ctrlProp590.xml><?xml version="1.0" encoding="utf-8"?>
<formControlPr xmlns="http://schemas.microsoft.com/office/spreadsheetml/2009/9/main" objectType="Radio" checked="Checked" firstButton="1" fmlaLink="$AL$16"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checked="Checked" firstButton="1" fmlaLink="$AL$17"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lockText="1"/>
</file>

<file path=xl/ctrlProps/ctrlProp597.xml><?xml version="1.0" encoding="utf-8"?>
<formControlPr xmlns="http://schemas.microsoft.com/office/spreadsheetml/2009/9/main" objectType="CheckBox" fmlaLink="$AK$20" lockText="1"/>
</file>

<file path=xl/ctrlProps/ctrlProp598.xml><?xml version="1.0" encoding="utf-8"?>
<formControlPr xmlns="http://schemas.microsoft.com/office/spreadsheetml/2009/9/main" objectType="CheckBox" fmlaLink="$AL$20" lockText="1"/>
</file>

<file path=xl/ctrlProps/ctrlProp599.xml><?xml version="1.0" encoding="utf-8"?>
<formControlPr xmlns="http://schemas.microsoft.com/office/spreadsheetml/2009/9/main" objectType="CheckBox" fmlaLink="$AL$56"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2" lockText="1"/>
</file>

<file path=xl/ctrlProps/ctrlProp600.xml><?xml version="1.0" encoding="utf-8"?>
<formControlPr xmlns="http://schemas.microsoft.com/office/spreadsheetml/2009/9/main" objectType="CheckBox" fmlaLink="$AM$56" lockText="1"/>
</file>

<file path=xl/ctrlProps/ctrlProp601.xml><?xml version="1.0" encoding="utf-8"?>
<formControlPr xmlns="http://schemas.microsoft.com/office/spreadsheetml/2009/9/main" objectType="CheckBox" fmlaLink="$R$31" lockText="1"/>
</file>

<file path=xl/ctrlProps/ctrlProp602.xml><?xml version="1.0" encoding="utf-8"?>
<formControlPr xmlns="http://schemas.microsoft.com/office/spreadsheetml/2009/9/main" objectType="CheckBox" fmlaLink="$R$32"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88"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S$22"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CheckBox" fmlaLink="$R$473"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S$23"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24"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S$25"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CheckBox" fmlaLink="$R$31" lockText="1"/>
</file>

<file path=xl/ctrlProps/ctrlProp62.xml><?xml version="1.0" encoding="utf-8"?>
<formControlPr xmlns="http://schemas.microsoft.com/office/spreadsheetml/2009/9/main" objectType="CheckBox" fmlaLink="$R$474" lockText="1"/>
</file>

<file path=xl/ctrlProps/ctrlProp620.xml><?xml version="1.0" encoding="utf-8"?>
<formControlPr xmlns="http://schemas.microsoft.com/office/spreadsheetml/2009/9/main" objectType="CheckBox" fmlaLink="$R$32"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88"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22"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S$23" lockText="1"/>
</file>

<file path=xl/ctrlProps/ctrlProp63.xml><?xml version="1.0" encoding="utf-8"?>
<formControlPr xmlns="http://schemas.microsoft.com/office/spreadsheetml/2009/9/main" objectType="CheckBox" fmlaLink="$R$479" lockText="1"/>
</file>

<file path=xl/ctrlProps/ctrlProp630.xml><?xml version="1.0" encoding="utf-8"?>
<formControlPr xmlns="http://schemas.microsoft.com/office/spreadsheetml/2009/9/main" objectType="Radio" checked="Checked" lockText="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S$24" lockText="1"/>
</file>

<file path=xl/ctrlProps/ctrlProp633.xml><?xml version="1.0" encoding="utf-8"?>
<formControlPr xmlns="http://schemas.microsoft.com/office/spreadsheetml/2009/9/main" objectType="Radio" checked="Checked"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25"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R$24" lockText="1"/>
</file>

<file path=xl/ctrlProps/ctrlProp639.xml><?xml version="1.0" encoding="utf-8"?>
<formControlPr xmlns="http://schemas.microsoft.com/office/spreadsheetml/2009/9/main" objectType="Radio" checked="Checked" lockText="1"/>
</file>

<file path=xl/ctrlProps/ctrlProp64.xml><?xml version="1.0" encoding="utf-8"?>
<formControlPr xmlns="http://schemas.microsoft.com/office/spreadsheetml/2009/9/main" objectType="CheckBox" fmlaLink="$R$480"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R$25" lockText="1"/>
</file>

<file path=xl/ctrlProps/ctrlProp642.xml><?xml version="1.0" encoding="utf-8"?>
<formControlPr xmlns="http://schemas.microsoft.com/office/spreadsheetml/2009/9/main" objectType="Radio" checked="Checked" lockText="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fmlaLink="$R$29" lockText="1"/>
</file>

<file path=xl/ctrlProps/ctrlProp645.xml><?xml version="1.0" encoding="utf-8"?>
<formControlPr xmlns="http://schemas.microsoft.com/office/spreadsheetml/2009/9/main" objectType="Radio" checked="Checked" lockText="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R$24" lockText="1"/>
</file>

<file path=xl/ctrlProps/ctrlProp648.xml><?xml version="1.0" encoding="utf-8"?>
<formControlPr xmlns="http://schemas.microsoft.com/office/spreadsheetml/2009/9/main" objectType="Radio" checked="Checked" lockText="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R$481" lockText="1"/>
</file>

<file path=xl/ctrlProps/ctrlProp650.xml><?xml version="1.0" encoding="utf-8"?>
<formControlPr xmlns="http://schemas.microsoft.com/office/spreadsheetml/2009/9/main" objectType="Radio" firstButton="1" fmlaLink="$R$25" lockText="1"/>
</file>

<file path=xl/ctrlProps/ctrlProp651.xml><?xml version="1.0" encoding="utf-8"?>
<formControlPr xmlns="http://schemas.microsoft.com/office/spreadsheetml/2009/9/main" objectType="Radio" checked="Checked" lockText="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R$29" lockText="1"/>
</file>

<file path=xl/ctrlProps/ctrlProp654.xml><?xml version="1.0" encoding="utf-8"?>
<formControlPr xmlns="http://schemas.microsoft.com/office/spreadsheetml/2009/9/main" objectType="Radio" checked="Checked" lockText="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fmlaLink="$R$35" lockText="1"/>
</file>

<file path=xl/ctrlProps/ctrlProp657.xml><?xml version="1.0" encoding="utf-8"?>
<formControlPr xmlns="http://schemas.microsoft.com/office/spreadsheetml/2009/9/main" objectType="Radio" checked="Checked" lockText="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R$130" lockText="1"/>
</file>

<file path=xl/ctrlProps/ctrlProp66.xml><?xml version="1.0" encoding="utf-8"?>
<formControlPr xmlns="http://schemas.microsoft.com/office/spreadsheetml/2009/9/main" objectType="CheckBox" fmlaLink="$R$482" lockText="1"/>
</file>

<file path=xl/ctrlProps/ctrlProp660.xml><?xml version="1.0" encoding="utf-8"?>
<formControlPr xmlns="http://schemas.microsoft.com/office/spreadsheetml/2009/9/main" objectType="Radio" checked="Checked" lockText="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R$85" lockText="1"/>
</file>

<file path=xl/ctrlProps/ctrlProp663.xml><?xml version="1.0" encoding="utf-8"?>
<formControlPr xmlns="http://schemas.microsoft.com/office/spreadsheetml/2009/9/main" objectType="Radio" checked="Checked" lockText="1"/>
</file>

<file path=xl/ctrlProps/ctrlProp664.xml><?xml version="1.0" encoding="utf-8"?>
<formControlPr xmlns="http://schemas.microsoft.com/office/spreadsheetml/2009/9/main" objectType="CheckBox" fmlaLink="$R$6" lockText="1"/>
</file>

<file path=xl/ctrlProps/ctrlProp665.xml><?xml version="1.0" encoding="utf-8"?>
<formControlPr xmlns="http://schemas.microsoft.com/office/spreadsheetml/2009/9/main" objectType="CheckBox" fmlaLink="$R$7" lockText="1"/>
</file>

<file path=xl/ctrlProps/ctrlProp666.xml><?xml version="1.0" encoding="utf-8"?>
<formControlPr xmlns="http://schemas.microsoft.com/office/spreadsheetml/2009/9/main" objectType="CheckBox" fmlaLink="$R$8" lockText="1"/>
</file>

<file path=xl/ctrlProps/ctrlProp667.xml><?xml version="1.0" encoding="utf-8"?>
<formControlPr xmlns="http://schemas.microsoft.com/office/spreadsheetml/2009/9/main" objectType="CheckBox" fmlaLink="$R$9" lockText="1"/>
</file>

<file path=xl/ctrlProps/ctrlProp668.xml><?xml version="1.0" encoding="utf-8"?>
<formControlPr xmlns="http://schemas.microsoft.com/office/spreadsheetml/2009/9/main" objectType="CheckBox" fmlaLink="$R$10" lockText="1"/>
</file>

<file path=xl/ctrlProps/ctrlProp669.xml><?xml version="1.0" encoding="utf-8"?>
<formControlPr xmlns="http://schemas.microsoft.com/office/spreadsheetml/2009/9/main" objectType="CheckBox" fmlaLink="$R$11" lockText="1"/>
</file>

<file path=xl/ctrlProps/ctrlProp67.xml><?xml version="1.0" encoding="utf-8"?>
<formControlPr xmlns="http://schemas.microsoft.com/office/spreadsheetml/2009/9/main" objectType="CheckBox" fmlaLink="$R$483" lockText="1"/>
</file>

<file path=xl/ctrlProps/ctrlProp670.xml><?xml version="1.0" encoding="utf-8"?>
<formControlPr xmlns="http://schemas.microsoft.com/office/spreadsheetml/2009/9/main" objectType="CheckBox" fmlaLink="$R$12" lockText="1"/>
</file>

<file path=xl/ctrlProps/ctrlProp671.xml><?xml version="1.0" encoding="utf-8"?>
<formControlPr xmlns="http://schemas.microsoft.com/office/spreadsheetml/2009/9/main" objectType="CheckBox" fmlaLink="$R$15" lockText="1"/>
</file>

<file path=xl/ctrlProps/ctrlProp672.xml><?xml version="1.0" encoding="utf-8"?>
<formControlPr xmlns="http://schemas.microsoft.com/office/spreadsheetml/2009/9/main" objectType="CheckBox" fmlaLink="$R$16" lockText="1"/>
</file>

<file path=xl/ctrlProps/ctrlProp673.xml><?xml version="1.0" encoding="utf-8"?>
<formControlPr xmlns="http://schemas.microsoft.com/office/spreadsheetml/2009/9/main" objectType="CheckBox" fmlaLink="$R$13" lockText="1"/>
</file>

<file path=xl/ctrlProps/ctrlProp674.xml><?xml version="1.0" encoding="utf-8"?>
<formControlPr xmlns="http://schemas.microsoft.com/office/spreadsheetml/2009/9/main" objectType="CheckBox" fmlaLink="$R$14" lockText="1"/>
</file>

<file path=xl/ctrlProps/ctrlProp675.xml><?xml version="1.0" encoding="utf-8"?>
<formControlPr xmlns="http://schemas.microsoft.com/office/spreadsheetml/2009/9/main" objectType="GBox"/>
</file>

<file path=xl/ctrlProps/ctrlProp676.xml><?xml version="1.0" encoding="utf-8"?>
<formControlPr xmlns="http://schemas.microsoft.com/office/spreadsheetml/2009/9/main" objectType="Radio" checked="Checked" firstButton="1" fmlaLink="$S$4"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R$484" lockText="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R5" lockText="1"/>
</file>

<file path=xl/ctrlProps/ctrlProp682.xml><?xml version="1.0" encoding="utf-8"?>
<formControlPr xmlns="http://schemas.microsoft.com/office/spreadsheetml/2009/9/main" objectType="Radio" checked="Checked"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checked="Checked" firstButton="1" fmlaLink="$S$5"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R$485" lockText="1"/>
</file>

<file path=xl/ctrlProps/ctrlProp690.xml><?xml version="1.0" encoding="utf-8"?>
<formControlPr xmlns="http://schemas.microsoft.com/office/spreadsheetml/2009/9/main" objectType="Radio" checked="Checked" firstButton="1" fmlaLink="$S$10"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checked="Checked" firstButton="1" fmlaLink="$S$9"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86"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checked="Checked" firstButton="1" fmlaLink="$S$8"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checked="Checked" firstButton="1" fmlaLink="$S$7"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fmlaLink="$R$487"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checked="Checked" firstButton="1" fmlaLink="S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R$488" lockText="1"/>
</file>

<file path=xl/ctrlProps/ctrlProp720.xml><?xml version="1.0" encoding="utf-8"?>
<formControlPr xmlns="http://schemas.microsoft.com/office/spreadsheetml/2009/9/main" objectType="Radio" firstButton="1" fmlaLink="$S$11" lockText="1"/>
</file>

<file path=xl/ctrlProps/ctrlProp721.xml><?xml version="1.0" encoding="utf-8"?>
<formControlPr xmlns="http://schemas.microsoft.com/office/spreadsheetml/2009/9/main" objectType="Radio" checked="Checked" lockText="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checked="Checked" firstButton="1" fmlaLink="$S$5"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checked="Checked" firstButton="1" fmlaLink="$S$6" lockText="1"/>
</file>

<file path=xl/ctrlProps/ctrlProp73.xml><?xml version="1.0" encoding="utf-8"?>
<formControlPr xmlns="http://schemas.microsoft.com/office/spreadsheetml/2009/9/main" objectType="CheckBox" fmlaLink="$R$489"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S$8" lockText="1"/>
</file>

<file path=xl/ctrlProps/ctrlProp736.xml><?xml version="1.0" encoding="utf-8"?>
<formControlPr xmlns="http://schemas.microsoft.com/office/spreadsheetml/2009/9/main" objectType="Radio" checked="Checked" lockText="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checked="Checked" firstButton="1" fmlaLink="$S$7"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fmlaLink="$R$495"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CheckBox" fmlaLink="$R$4" lockText="1"/>
</file>

<file path=xl/ctrlProps/ctrlProp745.xml><?xml version="1.0" encoding="utf-8"?>
<formControlPr xmlns="http://schemas.microsoft.com/office/spreadsheetml/2009/9/main" objectType="CheckBox" fmlaLink="$R$14" lockText="1"/>
</file>

<file path=xl/ctrlProps/ctrlProp746.xml><?xml version="1.0" encoding="utf-8"?>
<formControlPr xmlns="http://schemas.microsoft.com/office/spreadsheetml/2009/9/main" objectType="CheckBox" fmlaLink="$R$11" lockText="1"/>
</file>

<file path=xl/ctrlProps/ctrlProp747.xml><?xml version="1.0" encoding="utf-8"?>
<formControlPr xmlns="http://schemas.microsoft.com/office/spreadsheetml/2009/9/main" objectType="CheckBox" fmlaLink="$R$26" lockText="1"/>
</file>

<file path=xl/ctrlProps/ctrlProp748.xml><?xml version="1.0" encoding="utf-8"?>
<formControlPr xmlns="http://schemas.microsoft.com/office/spreadsheetml/2009/9/main" objectType="CheckBox" fmlaLink="$R$12" lockText="1"/>
</file>

<file path=xl/ctrlProps/ctrlProp749.xml><?xml version="1.0" encoding="utf-8"?>
<formControlPr xmlns="http://schemas.microsoft.com/office/spreadsheetml/2009/9/main" objectType="CheckBox" fmlaLink="$R$38" lockText="1"/>
</file>

<file path=xl/ctrlProps/ctrlProp75.xml><?xml version="1.0" encoding="utf-8"?>
<formControlPr xmlns="http://schemas.microsoft.com/office/spreadsheetml/2009/9/main" objectType="CheckBox" fmlaLink="$R$496"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checked="Checked" firstButton="1" fmlaLink="$S$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checked="Checked" firstButton="1" fmlaLink="$S$21"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497"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checked="Checked" firstButton="1" fmlaLink="$R$32"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checked="Checked" firstButton="1" fmlaLink="$S$16" lockText="1"/>
</file>

<file path=xl/ctrlProps/ctrlProp77.xml><?xml version="1.0" encoding="utf-8"?>
<formControlPr xmlns="http://schemas.microsoft.com/office/spreadsheetml/2009/9/main" objectType="CheckBox" fmlaLink="$R$498"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checked="Checked" firstButton="1" fmlaLink="$S$5"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CheckBox" fmlaLink="$R$499"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checked="Checked" firstButton="1" fmlaLink="$S$12" lockText="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CheckBox" fmlaLink="$R$500"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checked="Checked" firstButton="1" fmlaLink="$S$8"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1"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checked="Checked" firstButton="1" fmlaLink="$S$4"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2" lockText="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checked="Checked" firstButton="1" fmlaLink="$S$5"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checked="Checked" firstButton="1" fmlaLink="$S$9"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3"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checked="Checked" firstButton="1" fmlaLink="$S$14"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checked="Checked" firstButton="1" fmlaLink="$S$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4" lockText="1"/>
</file>

<file path=xl/ctrlProps/ctrlProp830.xml><?xml version="1.0" encoding="utf-8"?>
<formControlPr xmlns="http://schemas.microsoft.com/office/spreadsheetml/2009/9/main" objectType="CheckBox" fmlaLink="$S$27" lockText="1"/>
</file>

<file path=xl/ctrlProps/ctrlProp831.xml><?xml version="1.0" encoding="utf-8"?>
<formControlPr xmlns="http://schemas.microsoft.com/office/spreadsheetml/2009/9/main" objectType="CheckBox" fmlaLink="$S$38"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checked="Checked" firstButton="1" fmlaLink="$S$8"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checked="Checked" firstButton="1" fmlaLink="$S$13" lockText="1"/>
</file>

<file path=xl/ctrlProps/ctrlProp84.xml><?xml version="1.0" encoding="utf-8"?>
<formControlPr xmlns="http://schemas.microsoft.com/office/spreadsheetml/2009/9/main" objectType="CheckBox" fmlaLink="$R$505" lockText="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checked="Checked" firstButton="1" fmlaLink="$S$18"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checked="Checked" firstButton="1" fmlaLink="$S$22"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checked="Checked" firstButton="1" fmlaLink="$S$28"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R$51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checked="Checked" firstButton="1" fmlaLink="$S$3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checked="Checked" firstButton="1" fmlaLink="$S$39"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checked="Checked" firstButton="1" fmlaLink="$S$43"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checked="Checked" firstButton="1" fmlaLink="$S$48"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checked="Checked" firstButton="1" fmlaLink="$S$51"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58"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checked="Checked" firstButton="1" fmlaLink="$S$58"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4"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checked="Checked" firstButton="1" fmlaLink="$S$8"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checked="Checked" firstButton="1" fmlaLink="$S$11"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checked="Checked" firstButton="1" fmlaLink="$S$15"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checked="Checked" firstButton="1" fmlaLink="$S$18"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2"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checked="Checked" firstButton="1" fmlaLink="$S$26"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checked="Checked" firstButton="1" fmlaLink="$S$30"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checked="Checked" firstButton="1" fmlaLink="$S$38"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checked="Checked" firstButton="1" fmlaLink="$S$35"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checked="Checked" firstButton="1" fmlaLink="$S$12"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checked="Checked" firstButton="1" fmlaLink="$S$6"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checked="Checked" firstButton="1" fmlaLink="$S$4"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8.xml><?xml version="1.0" encoding="utf-8"?>
<formControlPr xmlns="http://schemas.microsoft.com/office/spreadsheetml/2009/9/main" objectType="CheckBox" fmlaLink="$S$258" lockText="1"/>
</file>

<file path=xl/ctrlProps/ctrlProp99.xml><?xml version="1.0" encoding="utf-8"?>
<formControlPr xmlns="http://schemas.microsoft.com/office/spreadsheetml/2009/9/main" objectType="CheckBox" fmlaLink="$S$259"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8778" y="6484056"/>
              <a:ext cx="5778500"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9292" y="8821208"/>
              <a:ext cx="1735666"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23</xdr:row>
          <xdr:rowOff>15345</xdr:rowOff>
        </xdr:from>
        <xdr:to>
          <xdr:col>9</xdr:col>
          <xdr:colOff>212725</xdr:colOff>
          <xdr:row>25</xdr:row>
          <xdr:rowOff>17463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73583"/>
              <a:ext cx="1735666"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23</xdr:row>
          <xdr:rowOff>5292</xdr:rowOff>
        </xdr:from>
        <xdr:to>
          <xdr:col>9</xdr:col>
          <xdr:colOff>212725</xdr:colOff>
          <xdr:row>25</xdr:row>
          <xdr:rowOff>7408</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15</xdr:col>
          <xdr:colOff>0</xdr:colOff>
          <xdr:row>130</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129</xdr:row>
          <xdr:rowOff>38100</xdr:rowOff>
        </xdr:from>
        <xdr:to>
          <xdr:col>11</xdr:col>
          <xdr:colOff>361950</xdr:colOff>
          <xdr:row>129</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129</xdr:row>
          <xdr:rowOff>38100</xdr:rowOff>
        </xdr:from>
        <xdr:to>
          <xdr:col>13</xdr:col>
          <xdr:colOff>342900</xdr:colOff>
          <xdr:row>129</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15</xdr:col>
          <xdr:colOff>0</xdr:colOff>
          <xdr:row>85</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84</xdr:row>
          <xdr:rowOff>38100</xdr:rowOff>
        </xdr:from>
        <xdr:to>
          <xdr:col>11</xdr:col>
          <xdr:colOff>361950</xdr:colOff>
          <xdr:row>84</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xdr:row>
          <xdr:rowOff>38100</xdr:rowOff>
        </xdr:from>
        <xdr:to>
          <xdr:col>13</xdr:col>
          <xdr:colOff>336550</xdr:colOff>
          <xdr:row>84</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127000</xdr:colOff>
          <xdr:row>5</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10</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12700</xdr:rowOff>
        </xdr:from>
        <xdr:to>
          <xdr:col>3</xdr:col>
          <xdr:colOff>127000</xdr:colOff>
          <xdr:row>11</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3</xdr:col>
          <xdr:colOff>127000</xdr:colOff>
          <xdr:row>15</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19050</xdr:rowOff>
        </xdr:from>
        <xdr:to>
          <xdr:col>3</xdr:col>
          <xdr:colOff>127000</xdr:colOff>
          <xdr:row>16</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127000</xdr:colOff>
          <xdr:row>12</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13</xdr:row>
          <xdr:rowOff>12700</xdr:rowOff>
        </xdr:from>
        <xdr:to>
          <xdr:col>3</xdr:col>
          <xdr:colOff>127000</xdr:colOff>
          <xdr:row>14</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89375" y="1132417"/>
              <a:ext cx="1418167" cy="264583"/>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7</xdr:col>
          <xdr:colOff>133350</xdr:colOff>
          <xdr:row>19</xdr:row>
          <xdr:rowOff>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9958" y="4381500"/>
              <a:ext cx="3873500" cy="1534583"/>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9958" y="2100792"/>
              <a:ext cx="3873500"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9958" y="6143625"/>
              <a:ext cx="3883025" cy="2497667"/>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9958" y="10403417"/>
              <a:ext cx="348192"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361950</xdr:rowOff>
        </xdr:from>
        <xdr:to>
          <xdr:col>14</xdr:col>
          <xdr:colOff>933450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492125"/>
              <a:ext cx="4048125"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0042"/>
              <a:ext cx="4048125" cy="1359958"/>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44083"/>
              <a:ext cx="4048125" cy="1105959"/>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1028700</xdr:colOff>
          <xdr:row>10</xdr:row>
          <xdr:rowOff>800100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57150</xdr:rowOff>
        </xdr:from>
        <xdr:to>
          <xdr:col>14</xdr:col>
          <xdr:colOff>800100</xdr:colOff>
          <xdr:row>57</xdr:row>
          <xdr:rowOff>57150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95250</xdr:rowOff>
        </xdr:from>
        <xdr:to>
          <xdr:col>4</xdr:col>
          <xdr:colOff>31750</xdr:colOff>
          <xdr:row>51</xdr:row>
          <xdr:rowOff>50800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9958" y="1338792"/>
              <a:ext cx="4095750" cy="2936875"/>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9958" y="4646083"/>
              <a:ext cx="4095750" cy="1248834"/>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9958" y="661458"/>
              <a:ext cx="4106334" cy="1772709"/>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5833" y="71966667"/>
              <a:ext cx="5513917" cy="264583"/>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2167" y="77205417"/>
              <a:ext cx="394758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2167" y="77454125"/>
              <a:ext cx="394758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2167" y="77930375"/>
              <a:ext cx="394758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2167" y="78179083"/>
              <a:ext cx="394758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184150</xdr:rowOff>
        </xdr:from>
        <xdr:to>
          <xdr:col>5</xdr:col>
          <xdr:colOff>107950</xdr:colOff>
          <xdr:row>446</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171450</xdr:rowOff>
        </xdr:from>
        <xdr:to>
          <xdr:col>5</xdr:col>
          <xdr:colOff>107950</xdr:colOff>
          <xdr:row>447</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165100</xdr:rowOff>
        </xdr:from>
        <xdr:to>
          <xdr:col>5</xdr:col>
          <xdr:colOff>107950</xdr:colOff>
          <xdr:row>448</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152400</xdr:rowOff>
        </xdr:from>
        <xdr:to>
          <xdr:col>5</xdr:col>
          <xdr:colOff>107950</xdr:colOff>
          <xdr:row>448</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165100</xdr:rowOff>
        </xdr:from>
        <xdr:to>
          <xdr:col>5</xdr:col>
          <xdr:colOff>107950</xdr:colOff>
          <xdr:row>450</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190500</xdr:rowOff>
        </xdr:from>
        <xdr:to>
          <xdr:col>5</xdr:col>
          <xdr:colOff>107950</xdr:colOff>
          <xdr:row>454</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336550</xdr:rowOff>
        </xdr:from>
        <xdr:to>
          <xdr:col>5</xdr:col>
          <xdr:colOff>107950</xdr:colOff>
          <xdr:row>455</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171450</xdr:rowOff>
        </xdr:from>
        <xdr:to>
          <xdr:col>5</xdr:col>
          <xdr:colOff>107950</xdr:colOff>
          <xdr:row>456</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165100</xdr:rowOff>
        </xdr:from>
        <xdr:to>
          <xdr:col>5</xdr:col>
          <xdr:colOff>107950</xdr:colOff>
          <xdr:row>457</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31750</xdr:rowOff>
        </xdr:from>
        <xdr:to>
          <xdr:col>5</xdr:col>
          <xdr:colOff>107950</xdr:colOff>
          <xdr:row>460</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19050</xdr:rowOff>
        </xdr:from>
        <xdr:to>
          <xdr:col>5</xdr:col>
          <xdr:colOff>107950</xdr:colOff>
          <xdr:row>461</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19050</xdr:rowOff>
        </xdr:from>
        <xdr:to>
          <xdr:col>5</xdr:col>
          <xdr:colOff>107950</xdr:colOff>
          <xdr:row>462</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19050</xdr:rowOff>
        </xdr:from>
        <xdr:to>
          <xdr:col>5</xdr:col>
          <xdr:colOff>107950</xdr:colOff>
          <xdr:row>463</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19050</xdr:rowOff>
        </xdr:from>
        <xdr:to>
          <xdr:col>5</xdr:col>
          <xdr:colOff>107950</xdr:colOff>
          <xdr:row>464</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190500</xdr:rowOff>
        </xdr:from>
        <xdr:to>
          <xdr:col>5</xdr:col>
          <xdr:colOff>107950</xdr:colOff>
          <xdr:row>475</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184150</xdr:rowOff>
        </xdr:from>
        <xdr:to>
          <xdr:col>5</xdr:col>
          <xdr:colOff>107950</xdr:colOff>
          <xdr:row>476</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190500</xdr:rowOff>
        </xdr:from>
        <xdr:to>
          <xdr:col>5</xdr:col>
          <xdr:colOff>107950</xdr:colOff>
          <xdr:row>491</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152400</xdr:rowOff>
        </xdr:from>
        <xdr:to>
          <xdr:col>5</xdr:col>
          <xdr:colOff>107950</xdr:colOff>
          <xdr:row>467</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171450</xdr:rowOff>
        </xdr:from>
        <xdr:to>
          <xdr:col>5</xdr:col>
          <xdr:colOff>107950</xdr:colOff>
          <xdr:row>490</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31750</xdr:rowOff>
        </xdr:from>
        <xdr:to>
          <xdr:col>5</xdr:col>
          <xdr:colOff>107950</xdr:colOff>
          <xdr:row>474</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459</xdr:row>
          <xdr:rowOff>38100</xdr:rowOff>
        </xdr:from>
        <xdr:to>
          <xdr:col>3</xdr:col>
          <xdr:colOff>260350</xdr:colOff>
          <xdr:row>464</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38100</xdr:rowOff>
        </xdr:from>
        <xdr:to>
          <xdr:col>3</xdr:col>
          <xdr:colOff>241300</xdr:colOff>
          <xdr:row>462</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165100</xdr:rowOff>
        </xdr:from>
        <xdr:to>
          <xdr:col>3</xdr:col>
          <xdr:colOff>241300</xdr:colOff>
          <xdr:row>463</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171450</xdr:rowOff>
        </xdr:from>
        <xdr:to>
          <xdr:col>5</xdr:col>
          <xdr:colOff>107950</xdr:colOff>
          <xdr:row>469</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171450</xdr:rowOff>
        </xdr:from>
        <xdr:to>
          <xdr:col>5</xdr:col>
          <xdr:colOff>107950</xdr:colOff>
          <xdr:row>470</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171450</xdr:rowOff>
        </xdr:from>
        <xdr:to>
          <xdr:col>5</xdr:col>
          <xdr:colOff>107950</xdr:colOff>
          <xdr:row>471</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165100</xdr:rowOff>
        </xdr:from>
        <xdr:to>
          <xdr:col>5</xdr:col>
          <xdr:colOff>107950</xdr:colOff>
          <xdr:row>472</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152400</xdr:rowOff>
        </xdr:from>
        <xdr:to>
          <xdr:col>5</xdr:col>
          <xdr:colOff>107950</xdr:colOff>
          <xdr:row>479</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190500</xdr:rowOff>
        </xdr:from>
        <xdr:to>
          <xdr:col>5</xdr:col>
          <xdr:colOff>107950</xdr:colOff>
          <xdr:row>480</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171450</xdr:rowOff>
        </xdr:from>
        <xdr:to>
          <xdr:col>5</xdr:col>
          <xdr:colOff>107950</xdr:colOff>
          <xdr:row>481</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165100</xdr:rowOff>
        </xdr:from>
        <xdr:to>
          <xdr:col>5</xdr:col>
          <xdr:colOff>107950</xdr:colOff>
          <xdr:row>482</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171450</xdr:rowOff>
        </xdr:from>
        <xdr:to>
          <xdr:col>5</xdr:col>
          <xdr:colOff>107950</xdr:colOff>
          <xdr:row>483</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171450</xdr:rowOff>
        </xdr:from>
        <xdr:to>
          <xdr:col>5</xdr:col>
          <xdr:colOff>107950</xdr:colOff>
          <xdr:row>484</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190500</xdr:rowOff>
        </xdr:from>
        <xdr:to>
          <xdr:col>5</xdr:col>
          <xdr:colOff>107950</xdr:colOff>
          <xdr:row>486</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184150</xdr:rowOff>
        </xdr:from>
        <xdr:to>
          <xdr:col>5</xdr:col>
          <xdr:colOff>107950</xdr:colOff>
          <xdr:row>488</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5833" y="91260083"/>
              <a:ext cx="2074334"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4191667"/>
              <a:ext cx="2084917"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12700</xdr:rowOff>
        </xdr:from>
        <xdr:to>
          <xdr:col>5</xdr:col>
          <xdr:colOff>107950</xdr:colOff>
          <xdr:row>495</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12700</xdr:rowOff>
        </xdr:from>
        <xdr:to>
          <xdr:col>5</xdr:col>
          <xdr:colOff>107950</xdr:colOff>
          <xdr:row>496</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146050</xdr:rowOff>
        </xdr:from>
        <xdr:to>
          <xdr:col>5</xdr:col>
          <xdr:colOff>107950</xdr:colOff>
          <xdr:row>497</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12700</xdr:rowOff>
        </xdr:from>
        <xdr:to>
          <xdr:col>5</xdr:col>
          <xdr:colOff>107950</xdr:colOff>
          <xdr:row>498</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501</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146050</xdr:rowOff>
        </xdr:from>
        <xdr:to>
          <xdr:col>5</xdr:col>
          <xdr:colOff>107950</xdr:colOff>
          <xdr:row>505</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513</xdr:row>
          <xdr:rowOff>12700</xdr:rowOff>
        </xdr:from>
        <xdr:to>
          <xdr:col>15</xdr:col>
          <xdr:colOff>12700</xdr:colOff>
          <xdr:row>514</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513</xdr:row>
          <xdr:rowOff>69850</xdr:rowOff>
        </xdr:from>
        <xdr:to>
          <xdr:col>13</xdr:col>
          <xdr:colOff>69850</xdr:colOff>
          <xdr:row>514</xdr:row>
          <xdr:rowOff>38100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513</xdr:row>
          <xdr:rowOff>69850</xdr:rowOff>
        </xdr:from>
        <xdr:to>
          <xdr:col>14</xdr:col>
          <xdr:colOff>342900</xdr:colOff>
          <xdr:row>514</xdr:row>
          <xdr:rowOff>38100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19050</xdr:rowOff>
        </xdr:from>
        <xdr:to>
          <xdr:col>15</xdr:col>
          <xdr:colOff>19050</xdr:colOff>
          <xdr:row>558</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31750</xdr:rowOff>
        </xdr:from>
        <xdr:to>
          <xdr:col>1</xdr:col>
          <xdr:colOff>628650</xdr:colOff>
          <xdr:row>558</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31750</xdr:rowOff>
        </xdr:from>
        <xdr:to>
          <xdr:col>15</xdr:col>
          <xdr:colOff>0</xdr:colOff>
          <xdr:row>558</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2167" y="111675333"/>
              <a:ext cx="3947583" cy="497417"/>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2167" y="112172750"/>
              <a:ext cx="3947583" cy="248708"/>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2167" y="112421458"/>
              <a:ext cx="3947583" cy="248709"/>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995208" y="114104208"/>
              <a:ext cx="1624542" cy="248709"/>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19050</xdr:rowOff>
        </xdr:from>
        <xdr:to>
          <xdr:col>8</xdr:col>
          <xdr:colOff>69850</xdr:colOff>
          <xdr:row>577</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12700</xdr:rowOff>
        </xdr:from>
        <xdr:to>
          <xdr:col>1</xdr:col>
          <xdr:colOff>819150</xdr:colOff>
          <xdr:row>462</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184150</xdr:rowOff>
        </xdr:from>
        <xdr:to>
          <xdr:col>5</xdr:col>
          <xdr:colOff>107950</xdr:colOff>
          <xdr:row>468</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5833" y="72490542"/>
              <a:ext cx="5513917" cy="264583"/>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2167" y="77866875"/>
              <a:ext cx="394758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2167" y="78115583"/>
              <a:ext cx="394758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2167" y="78591833"/>
              <a:ext cx="394758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2167" y="78840542"/>
              <a:ext cx="394758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190500</xdr:rowOff>
        </xdr:from>
        <xdr:to>
          <xdr:col>5</xdr:col>
          <xdr:colOff>107950</xdr:colOff>
          <xdr:row>446</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184150</xdr:rowOff>
        </xdr:from>
        <xdr:to>
          <xdr:col>5</xdr:col>
          <xdr:colOff>107950</xdr:colOff>
          <xdr:row>447</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171450</xdr:rowOff>
        </xdr:from>
        <xdr:to>
          <xdr:col>5</xdr:col>
          <xdr:colOff>107950</xdr:colOff>
          <xdr:row>448</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165100</xdr:rowOff>
        </xdr:from>
        <xdr:to>
          <xdr:col>5</xdr:col>
          <xdr:colOff>107950</xdr:colOff>
          <xdr:row>449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171450</xdr:rowOff>
        </xdr:from>
        <xdr:to>
          <xdr:col>5</xdr:col>
          <xdr:colOff>107950</xdr:colOff>
          <xdr:row>450</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184150</xdr:rowOff>
        </xdr:from>
        <xdr:to>
          <xdr:col>5</xdr:col>
          <xdr:colOff>107950</xdr:colOff>
          <xdr:row>453</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323850</xdr:rowOff>
        </xdr:from>
        <xdr:to>
          <xdr:col>5</xdr:col>
          <xdr:colOff>107950</xdr:colOff>
          <xdr:row>455</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165100</xdr:rowOff>
        </xdr:from>
        <xdr:to>
          <xdr:col>5</xdr:col>
          <xdr:colOff>107950</xdr:colOff>
          <xdr:row>456</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152400</xdr:rowOff>
        </xdr:from>
        <xdr:to>
          <xdr:col>5</xdr:col>
          <xdr:colOff>107950</xdr:colOff>
          <xdr:row>456</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165100</xdr:rowOff>
        </xdr:from>
        <xdr:to>
          <xdr:col>5</xdr:col>
          <xdr:colOff>107950</xdr:colOff>
          <xdr:row>491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146050</xdr:rowOff>
        </xdr:from>
        <xdr:to>
          <xdr:col>5</xdr:col>
          <xdr:colOff>107950</xdr:colOff>
          <xdr:row>489</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165100</xdr:rowOff>
        </xdr:from>
        <xdr:to>
          <xdr:col>5</xdr:col>
          <xdr:colOff>107950</xdr:colOff>
          <xdr:row>480</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146050</xdr:rowOff>
        </xdr:from>
        <xdr:to>
          <xdr:col>5</xdr:col>
          <xdr:colOff>107950</xdr:colOff>
          <xdr:row>480</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133350</xdr:rowOff>
        </xdr:from>
        <xdr:to>
          <xdr:col>5</xdr:col>
          <xdr:colOff>107950</xdr:colOff>
          <xdr:row>481</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146050</xdr:rowOff>
        </xdr:from>
        <xdr:to>
          <xdr:col>5</xdr:col>
          <xdr:colOff>107950</xdr:colOff>
          <xdr:row>482</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146050</xdr:rowOff>
        </xdr:from>
        <xdr:to>
          <xdr:col>5</xdr:col>
          <xdr:colOff>107950</xdr:colOff>
          <xdr:row>483</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152400</xdr:rowOff>
        </xdr:from>
        <xdr:to>
          <xdr:col>5</xdr:col>
          <xdr:colOff>107950</xdr:colOff>
          <xdr:row>487</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5833" y="91963875"/>
              <a:ext cx="2074334"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4937792"/>
              <a:ext cx="2084917" cy="2402416"/>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133350</xdr:rowOff>
        </xdr:from>
        <xdr:to>
          <xdr:col>5</xdr:col>
          <xdr:colOff>107950</xdr:colOff>
          <xdr:row>495</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171450</xdr:rowOff>
        </xdr:from>
        <xdr:to>
          <xdr:col>5</xdr:col>
          <xdr:colOff>107950</xdr:colOff>
          <xdr:row>496</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12700</xdr:rowOff>
        </xdr:from>
        <xdr:to>
          <xdr:col>5</xdr:col>
          <xdr:colOff>107950</xdr:colOff>
          <xdr:row>496</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317500</xdr:rowOff>
        </xdr:from>
        <xdr:to>
          <xdr:col>5</xdr:col>
          <xdr:colOff>107950</xdr:colOff>
          <xdr:row>498</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165100</xdr:rowOff>
        </xdr:from>
        <xdr:to>
          <xdr:col>5</xdr:col>
          <xdr:colOff>107950</xdr:colOff>
          <xdr:row>499</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165100</xdr:rowOff>
        </xdr:from>
        <xdr:to>
          <xdr:col>5</xdr:col>
          <xdr:colOff>107950</xdr:colOff>
          <xdr:row>500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165100</xdr:rowOff>
        </xdr:from>
        <xdr:to>
          <xdr:col>5</xdr:col>
          <xdr:colOff>107950</xdr:colOff>
          <xdr:row>501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165100</xdr:rowOff>
        </xdr:from>
        <xdr:to>
          <xdr:col>5</xdr:col>
          <xdr:colOff>107950</xdr:colOff>
          <xdr:row>502</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107950</xdr:rowOff>
        </xdr:from>
        <xdr:to>
          <xdr:col>5</xdr:col>
          <xdr:colOff>107950</xdr:colOff>
          <xdr:row>504</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512</xdr:row>
          <xdr:rowOff>514350</xdr:rowOff>
        </xdr:from>
        <xdr:to>
          <xdr:col>15</xdr:col>
          <xdr:colOff>19050</xdr:colOff>
          <xdr:row>514</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512</xdr:row>
          <xdr:rowOff>514350</xdr:rowOff>
        </xdr:from>
        <xdr:to>
          <xdr:col>13</xdr:col>
          <xdr:colOff>69850</xdr:colOff>
          <xdr:row>513</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512</xdr:row>
          <xdr:rowOff>514350</xdr:rowOff>
        </xdr:from>
        <xdr:to>
          <xdr:col>14</xdr:col>
          <xdr:colOff>342900</xdr:colOff>
          <xdr:row>513</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0</xdr:rowOff>
        </xdr:from>
        <xdr:to>
          <xdr:col>15</xdr:col>
          <xdr:colOff>19050</xdr:colOff>
          <xdr:row>558</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0</xdr:rowOff>
        </xdr:from>
        <xdr:to>
          <xdr:col>1</xdr:col>
          <xdr:colOff>628650</xdr:colOff>
          <xdr:row>557</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0</xdr:rowOff>
        </xdr:from>
        <xdr:to>
          <xdr:col>15</xdr:col>
          <xdr:colOff>0</xdr:colOff>
          <xdr:row>557</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2167" y="112691333"/>
              <a:ext cx="3947583" cy="497417"/>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2167" y="113188750"/>
              <a:ext cx="3947583" cy="248708"/>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2167" y="113437458"/>
              <a:ext cx="3947583" cy="248709"/>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995208" y="115083167"/>
              <a:ext cx="1624542" cy="248708"/>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31750</xdr:rowOff>
        </xdr:from>
        <xdr:to>
          <xdr:col>8</xdr:col>
          <xdr:colOff>69850</xdr:colOff>
          <xdr:row>577</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127000</xdr:rowOff>
        </xdr:from>
        <xdr:to>
          <xdr:col>5</xdr:col>
          <xdr:colOff>107950</xdr:colOff>
          <xdr:row>459</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203200</xdr:rowOff>
        </xdr:from>
        <xdr:to>
          <xdr:col>5</xdr:col>
          <xdr:colOff>107950</xdr:colOff>
          <xdr:row>460</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203200</xdr:rowOff>
        </xdr:from>
        <xdr:to>
          <xdr:col>5</xdr:col>
          <xdr:colOff>107950</xdr:colOff>
          <xdr:row>461</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209550</xdr:rowOff>
        </xdr:from>
        <xdr:to>
          <xdr:col>5</xdr:col>
          <xdr:colOff>107950</xdr:colOff>
          <xdr:row>462</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209550</xdr:rowOff>
        </xdr:from>
        <xdr:to>
          <xdr:col>5</xdr:col>
          <xdr:colOff>107950</xdr:colOff>
          <xdr:row>463</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165100</xdr:rowOff>
        </xdr:from>
        <xdr:to>
          <xdr:col>5</xdr:col>
          <xdr:colOff>107950</xdr:colOff>
          <xdr:row>475</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152400</xdr:rowOff>
        </xdr:from>
        <xdr:to>
          <xdr:col>5</xdr:col>
          <xdr:colOff>107950</xdr:colOff>
          <xdr:row>475</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127000</xdr:rowOff>
        </xdr:from>
        <xdr:to>
          <xdr:col>5</xdr:col>
          <xdr:colOff>107950</xdr:colOff>
          <xdr:row>467</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114300</xdr:rowOff>
        </xdr:from>
        <xdr:to>
          <xdr:col>5</xdr:col>
          <xdr:colOff>107950</xdr:colOff>
          <xdr:row>473</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458</xdr:row>
          <xdr:rowOff>76200</xdr:rowOff>
        </xdr:from>
        <xdr:to>
          <xdr:col>3</xdr:col>
          <xdr:colOff>260350</xdr:colOff>
          <xdr:row>463</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50800</xdr:rowOff>
        </xdr:from>
        <xdr:to>
          <xdr:col>3</xdr:col>
          <xdr:colOff>241300</xdr:colOff>
          <xdr:row>462</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171450</xdr:rowOff>
        </xdr:from>
        <xdr:to>
          <xdr:col>3</xdr:col>
          <xdr:colOff>241300</xdr:colOff>
          <xdr:row>463</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146050</xdr:rowOff>
        </xdr:from>
        <xdr:to>
          <xdr:col>5</xdr:col>
          <xdr:colOff>107950</xdr:colOff>
          <xdr:row>468</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146050</xdr:rowOff>
        </xdr:from>
        <xdr:to>
          <xdr:col>5</xdr:col>
          <xdr:colOff>107950</xdr:colOff>
          <xdr:row>469</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146050</xdr:rowOff>
        </xdr:from>
        <xdr:to>
          <xdr:col>5</xdr:col>
          <xdr:colOff>107950</xdr:colOff>
          <xdr:row>470</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133350</xdr:rowOff>
        </xdr:from>
        <xdr:to>
          <xdr:col>5</xdr:col>
          <xdr:colOff>107950</xdr:colOff>
          <xdr:row>471</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19050</xdr:rowOff>
        </xdr:from>
        <xdr:to>
          <xdr:col>1</xdr:col>
          <xdr:colOff>819150</xdr:colOff>
          <xdr:row>462</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152400</xdr:rowOff>
        </xdr:from>
        <xdr:to>
          <xdr:col>5</xdr:col>
          <xdr:colOff>107950</xdr:colOff>
          <xdr:row>467</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616542"/>
          <a:ext cx="2012950" cy="1846791"/>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283042"/>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165100</xdr:rowOff>
        </xdr:from>
        <xdr:to>
          <xdr:col>5</xdr:col>
          <xdr:colOff>88900</xdr:colOff>
          <xdr:row>284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171450</xdr:rowOff>
        </xdr:from>
        <xdr:to>
          <xdr:col>5</xdr:col>
          <xdr:colOff>88900</xdr:colOff>
          <xdr:row>285</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286</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336550</xdr:rowOff>
        </xdr:from>
        <xdr:to>
          <xdr:col>5</xdr:col>
          <xdr:colOff>88900</xdr:colOff>
          <xdr:row>288</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165100</xdr:rowOff>
        </xdr:from>
        <xdr:to>
          <xdr:col>5</xdr:col>
          <xdr:colOff>88900</xdr:colOff>
          <xdr:row>290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171450</xdr:rowOff>
        </xdr:from>
        <xdr:to>
          <xdr:col>5</xdr:col>
          <xdr:colOff>88900</xdr:colOff>
          <xdr:row>291</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12700</xdr:rowOff>
        </xdr:from>
        <xdr:to>
          <xdr:col>5</xdr:col>
          <xdr:colOff>88900</xdr:colOff>
          <xdr:row>293</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336550</xdr:rowOff>
        </xdr:from>
        <xdr:to>
          <xdr:col>5</xdr:col>
          <xdr:colOff>88900</xdr:colOff>
          <xdr:row>294</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165100</xdr:rowOff>
        </xdr:from>
        <xdr:to>
          <xdr:col>5</xdr:col>
          <xdr:colOff>88900</xdr:colOff>
          <xdr:row>296</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304800</xdr:rowOff>
        </xdr:from>
        <xdr:to>
          <xdr:col>5</xdr:col>
          <xdr:colOff>88900</xdr:colOff>
          <xdr:row>301</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171450</xdr:rowOff>
        </xdr:from>
        <xdr:to>
          <xdr:col>5</xdr:col>
          <xdr:colOff>88900</xdr:colOff>
          <xdr:row>302</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336550</xdr:rowOff>
        </xdr:from>
        <xdr:to>
          <xdr:col>5</xdr:col>
          <xdr:colOff>88900</xdr:colOff>
          <xdr:row>309</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165100</xdr:rowOff>
        </xdr:from>
        <xdr:to>
          <xdr:col>5</xdr:col>
          <xdr:colOff>88900</xdr:colOff>
          <xdr:row>312</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171450</xdr:rowOff>
        </xdr:from>
        <xdr:to>
          <xdr:col>5</xdr:col>
          <xdr:colOff>88900</xdr:colOff>
          <xdr:row>313</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171450</xdr:rowOff>
        </xdr:from>
        <xdr:to>
          <xdr:col>5</xdr:col>
          <xdr:colOff>88900</xdr:colOff>
          <xdr:row>317</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171450</xdr:rowOff>
        </xdr:from>
        <xdr:to>
          <xdr:col>5</xdr:col>
          <xdr:colOff>88900</xdr:colOff>
          <xdr:row>319</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0</xdr:rowOff>
        </xdr:from>
        <xdr:to>
          <xdr:col>5</xdr:col>
          <xdr:colOff>88900</xdr:colOff>
          <xdr:row>322</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12700</xdr:rowOff>
        </xdr:from>
        <xdr:to>
          <xdr:col>5</xdr:col>
          <xdr:colOff>88900</xdr:colOff>
          <xdr:row>325</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184150</xdr:rowOff>
        </xdr:from>
        <xdr:to>
          <xdr:col>5</xdr:col>
          <xdr:colOff>88900</xdr:colOff>
          <xdr:row>327</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323850</xdr:rowOff>
        </xdr:from>
        <xdr:to>
          <xdr:col>5</xdr:col>
          <xdr:colOff>88900</xdr:colOff>
          <xdr:row>329</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488950</xdr:rowOff>
        </xdr:from>
        <xdr:to>
          <xdr:col>5</xdr:col>
          <xdr:colOff>88900</xdr:colOff>
          <xdr:row>331</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171450</xdr:rowOff>
        </xdr:from>
        <xdr:to>
          <xdr:col>5</xdr:col>
          <xdr:colOff>88900</xdr:colOff>
          <xdr:row>332</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184150</xdr:rowOff>
        </xdr:from>
        <xdr:to>
          <xdr:col>5</xdr:col>
          <xdr:colOff>88900</xdr:colOff>
          <xdr:row>333</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165100</xdr:rowOff>
        </xdr:from>
        <xdr:to>
          <xdr:col>5</xdr:col>
          <xdr:colOff>88900</xdr:colOff>
          <xdr:row>334</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222250</xdr:rowOff>
        </xdr:from>
        <xdr:to>
          <xdr:col>5</xdr:col>
          <xdr:colOff>88900</xdr:colOff>
          <xdr:row>336</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171450</xdr:rowOff>
        </xdr:from>
        <xdr:to>
          <xdr:col>5</xdr:col>
          <xdr:colOff>88900</xdr:colOff>
          <xdr:row>298</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171450</xdr:rowOff>
        </xdr:from>
        <xdr:to>
          <xdr:col>5</xdr:col>
          <xdr:colOff>88900</xdr:colOff>
          <xdr:row>307</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184150</xdr:rowOff>
        </xdr:from>
        <xdr:to>
          <xdr:col>5</xdr:col>
          <xdr:colOff>88900</xdr:colOff>
          <xdr:row>300</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0</xdr:rowOff>
        </xdr:from>
        <xdr:to>
          <xdr:col>5</xdr:col>
          <xdr:colOff>88900</xdr:colOff>
          <xdr:row>328</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371475</xdr:colOff>
          <xdr:row>318</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722750"/>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276500"/>
              <a:ext cx="4516967" cy="248708"/>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19050</xdr:rowOff>
        </xdr:from>
        <xdr:to>
          <xdr:col>6</xdr:col>
          <xdr:colOff>190500</xdr:colOff>
          <xdr:row>250</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779333"/>
              <a:ext cx="1227667" cy="264584"/>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38100</xdr:rowOff>
        </xdr:from>
        <xdr:to>
          <xdr:col>5</xdr:col>
          <xdr:colOff>222250</xdr:colOff>
          <xdr:row>262</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19050</xdr:rowOff>
        </xdr:from>
        <xdr:to>
          <xdr:col>5</xdr:col>
          <xdr:colOff>222250</xdr:colOff>
          <xdr:row>263</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9525</xdr:rowOff>
        </xdr:from>
        <xdr:to>
          <xdr:col>14</xdr:col>
          <xdr:colOff>628650</xdr:colOff>
          <xdr:row>267</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895067"/>
              <a:ext cx="1220259" cy="218016"/>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9525</xdr:rowOff>
        </xdr:from>
        <xdr:to>
          <xdr:col>15</xdr:col>
          <xdr:colOff>0</xdr:colOff>
          <xdr:row>404</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454317"/>
              <a:ext cx="4631267" cy="218016"/>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413</xdr:row>
          <xdr:rowOff>95250</xdr:rowOff>
        </xdr:from>
        <xdr:to>
          <xdr:col>3</xdr:col>
          <xdr:colOff>374650</xdr:colOff>
          <xdr:row>414</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12700</xdr:rowOff>
        </xdr:from>
        <xdr:to>
          <xdr:col>11</xdr:col>
          <xdr:colOff>165100</xdr:colOff>
          <xdr:row>413</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222250</xdr:rowOff>
        </xdr:from>
        <xdr:to>
          <xdr:col>12</xdr:col>
          <xdr:colOff>342900</xdr:colOff>
          <xdr:row>413</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203200</xdr:rowOff>
        </xdr:from>
        <xdr:to>
          <xdr:col>12</xdr:col>
          <xdr:colOff>342900</xdr:colOff>
          <xdr:row>414</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414</xdr:row>
          <xdr:rowOff>184150</xdr:rowOff>
        </xdr:from>
        <xdr:to>
          <xdr:col>12</xdr:col>
          <xdr:colOff>342900</xdr:colOff>
          <xdr:row>415</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416</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19050</xdr:rowOff>
        </xdr:from>
        <xdr:to>
          <xdr:col>3</xdr:col>
          <xdr:colOff>88900</xdr:colOff>
          <xdr:row>418</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1428750</xdr:colOff>
          <xdr:row>427</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596633"/>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19050</xdr:rowOff>
        </xdr:from>
        <xdr:to>
          <xdr:col>5</xdr:col>
          <xdr:colOff>222250</xdr:colOff>
          <xdr:row>430</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31750</xdr:rowOff>
        </xdr:from>
        <xdr:to>
          <xdr:col>5</xdr:col>
          <xdr:colOff>222250</xdr:colOff>
          <xdr:row>431</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12700</xdr:rowOff>
        </xdr:from>
        <xdr:to>
          <xdr:col>5</xdr:col>
          <xdr:colOff>222250</xdr:colOff>
          <xdr:row>432</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19050</xdr:rowOff>
        </xdr:from>
        <xdr:to>
          <xdr:col>5</xdr:col>
          <xdr:colOff>222250</xdr:colOff>
          <xdr:row>435</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12700</xdr:rowOff>
        </xdr:from>
        <xdr:to>
          <xdr:col>5</xdr:col>
          <xdr:colOff>222250</xdr:colOff>
          <xdr:row>436</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440500"/>
              <a:ext cx="1227667" cy="497417"/>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795167"/>
              <a:ext cx="1227667" cy="227541"/>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777292"/>
              <a:ext cx="5593292" cy="264583"/>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38100</xdr:rowOff>
        </xdr:from>
        <xdr:to>
          <xdr:col>1</xdr:col>
          <xdr:colOff>393700</xdr:colOff>
          <xdr:row>244</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293</xdr:row>
          <xdr:rowOff>0</xdr:rowOff>
        </xdr:from>
        <xdr:to>
          <xdr:col>3</xdr:col>
          <xdr:colOff>279400</xdr:colOff>
          <xdr:row>302</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19050</xdr:rowOff>
        </xdr:from>
        <xdr:to>
          <xdr:col>3</xdr:col>
          <xdr:colOff>247650</xdr:colOff>
          <xdr:row>294</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88900</xdr:rowOff>
        </xdr:from>
        <xdr:to>
          <xdr:col>3</xdr:col>
          <xdr:colOff>247650</xdr:colOff>
          <xdr:row>295</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295</xdr:row>
          <xdr:rowOff>165100</xdr:rowOff>
        </xdr:from>
        <xdr:to>
          <xdr:col>3</xdr:col>
          <xdr:colOff>241300</xdr:colOff>
          <xdr:row>297</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297</xdr:row>
          <xdr:rowOff>38100</xdr:rowOff>
        </xdr:from>
        <xdr:to>
          <xdr:col>3</xdr:col>
          <xdr:colOff>247650</xdr:colOff>
          <xdr:row>298</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95250</xdr:rowOff>
        </xdr:from>
        <xdr:to>
          <xdr:col>3</xdr:col>
          <xdr:colOff>247650</xdr:colOff>
          <xdr:row>299</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299</xdr:row>
          <xdr:rowOff>165100</xdr:rowOff>
        </xdr:from>
        <xdr:to>
          <xdr:col>3</xdr:col>
          <xdr:colOff>247650</xdr:colOff>
          <xdr:row>300</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107950</xdr:rowOff>
        </xdr:from>
        <xdr:to>
          <xdr:col>3</xdr:col>
          <xdr:colOff>260350</xdr:colOff>
          <xdr:row>301</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732958"/>
          <a:ext cx="2012950" cy="1846792"/>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436500"/>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12700</xdr:rowOff>
        </xdr:from>
        <xdr:to>
          <xdr:col>5</xdr:col>
          <xdr:colOff>88900</xdr:colOff>
          <xdr:row>281</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0</xdr:rowOff>
        </xdr:from>
        <xdr:to>
          <xdr:col>5</xdr:col>
          <xdr:colOff>88900</xdr:colOff>
          <xdr:row>282</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184150</xdr:rowOff>
        </xdr:from>
        <xdr:to>
          <xdr:col>5</xdr:col>
          <xdr:colOff>88900</xdr:colOff>
          <xdr:row>283</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184150</xdr:rowOff>
        </xdr:from>
        <xdr:to>
          <xdr:col>5</xdr:col>
          <xdr:colOff>88900</xdr:colOff>
          <xdr:row>285</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12700</xdr:rowOff>
        </xdr:from>
        <xdr:to>
          <xdr:col>5</xdr:col>
          <xdr:colOff>88900</xdr:colOff>
          <xdr:row>286</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0</xdr:rowOff>
        </xdr:from>
        <xdr:to>
          <xdr:col>5</xdr:col>
          <xdr:colOff>88900</xdr:colOff>
          <xdr:row>288</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184150</xdr:rowOff>
        </xdr:from>
        <xdr:to>
          <xdr:col>5</xdr:col>
          <xdr:colOff>88900</xdr:colOff>
          <xdr:row>289</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184150</xdr:rowOff>
        </xdr:from>
        <xdr:to>
          <xdr:col>5</xdr:col>
          <xdr:colOff>88900</xdr:colOff>
          <xdr:row>291</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19050</xdr:rowOff>
        </xdr:from>
        <xdr:to>
          <xdr:col>5</xdr:col>
          <xdr:colOff>88900</xdr:colOff>
          <xdr:row>293</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0</xdr:rowOff>
        </xdr:from>
        <xdr:to>
          <xdr:col>5</xdr:col>
          <xdr:colOff>88900</xdr:colOff>
          <xdr:row>294</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184150</xdr:rowOff>
        </xdr:from>
        <xdr:to>
          <xdr:col>5</xdr:col>
          <xdr:colOff>88900</xdr:colOff>
          <xdr:row>295</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317500</xdr:rowOff>
        </xdr:from>
        <xdr:to>
          <xdr:col>5</xdr:col>
          <xdr:colOff>88900</xdr:colOff>
          <xdr:row>301</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184150</xdr:rowOff>
        </xdr:from>
        <xdr:to>
          <xdr:col>5</xdr:col>
          <xdr:colOff>88900</xdr:colOff>
          <xdr:row>302</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0</xdr:rowOff>
        </xdr:from>
        <xdr:to>
          <xdr:col>5</xdr:col>
          <xdr:colOff>88900</xdr:colOff>
          <xdr:row>310</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184150</xdr:rowOff>
        </xdr:from>
        <xdr:to>
          <xdr:col>5</xdr:col>
          <xdr:colOff>88900</xdr:colOff>
          <xdr:row>311</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0</xdr:rowOff>
        </xdr:from>
        <xdr:to>
          <xdr:col>5</xdr:col>
          <xdr:colOff>88900</xdr:colOff>
          <xdr:row>315</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184150</xdr:rowOff>
        </xdr:from>
        <xdr:to>
          <xdr:col>5</xdr:col>
          <xdr:colOff>88900</xdr:colOff>
          <xdr:row>317</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184150</xdr:rowOff>
        </xdr:from>
        <xdr:to>
          <xdr:col>5</xdr:col>
          <xdr:colOff>88900</xdr:colOff>
          <xdr:row>319</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222250</xdr:rowOff>
        </xdr:from>
        <xdr:to>
          <xdr:col>5</xdr:col>
          <xdr:colOff>88900</xdr:colOff>
          <xdr:row>321</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184150</xdr:rowOff>
        </xdr:from>
        <xdr:to>
          <xdr:col>5</xdr:col>
          <xdr:colOff>88900</xdr:colOff>
          <xdr:row>324</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171450</xdr:rowOff>
        </xdr:from>
        <xdr:to>
          <xdr:col>5</xdr:col>
          <xdr:colOff>88900</xdr:colOff>
          <xdr:row>325</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326</xdr:row>
          <xdr:rowOff>0</xdr:rowOff>
        </xdr:from>
        <xdr:to>
          <xdr:col>5</xdr:col>
          <xdr:colOff>88900</xdr:colOff>
          <xdr:row>327</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336550</xdr:rowOff>
        </xdr:from>
        <xdr:to>
          <xdr:col>5</xdr:col>
          <xdr:colOff>88900</xdr:colOff>
          <xdr:row>329</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0</xdr:rowOff>
        </xdr:from>
        <xdr:to>
          <xdr:col>5</xdr:col>
          <xdr:colOff>88900</xdr:colOff>
          <xdr:row>331</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0</xdr:rowOff>
        </xdr:from>
        <xdr:to>
          <xdr:col>5</xdr:col>
          <xdr:colOff>88900</xdr:colOff>
          <xdr:row>333</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171450</xdr:rowOff>
        </xdr:from>
        <xdr:to>
          <xdr:col>5</xdr:col>
          <xdr:colOff>88900</xdr:colOff>
          <xdr:row>334</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335</xdr:row>
          <xdr:rowOff>0</xdr:rowOff>
        </xdr:from>
        <xdr:to>
          <xdr:col>5</xdr:col>
          <xdr:colOff>88900</xdr:colOff>
          <xdr:row>336</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184150</xdr:rowOff>
        </xdr:from>
        <xdr:to>
          <xdr:col>5</xdr:col>
          <xdr:colOff>88900</xdr:colOff>
          <xdr:row>298</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184150</xdr:rowOff>
        </xdr:from>
        <xdr:to>
          <xdr:col>5</xdr:col>
          <xdr:colOff>88900</xdr:colOff>
          <xdr:row>307</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0</xdr:rowOff>
        </xdr:from>
        <xdr:to>
          <xdr:col>5</xdr:col>
          <xdr:colOff>88900</xdr:colOff>
          <xdr:row>300</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12700</xdr:rowOff>
        </xdr:from>
        <xdr:to>
          <xdr:col>5</xdr:col>
          <xdr:colOff>88900</xdr:colOff>
          <xdr:row>328</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276225</xdr:colOff>
          <xdr:row>318</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839167"/>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228875"/>
              <a:ext cx="4379384" cy="248708"/>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12700</xdr:rowOff>
        </xdr:from>
        <xdr:to>
          <xdr:col>6</xdr:col>
          <xdr:colOff>190500</xdr:colOff>
          <xdr:row>250</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86250" y="54731708"/>
              <a:ext cx="1227667" cy="264584"/>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50800</xdr:rowOff>
        </xdr:from>
        <xdr:to>
          <xdr:col>5</xdr:col>
          <xdr:colOff>222250</xdr:colOff>
          <xdr:row>262</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31750</xdr:rowOff>
        </xdr:from>
        <xdr:to>
          <xdr:col>5</xdr:col>
          <xdr:colOff>222250</xdr:colOff>
          <xdr:row>263</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0</xdr:rowOff>
        </xdr:from>
        <xdr:to>
          <xdr:col>15</xdr:col>
          <xdr:colOff>0</xdr:colOff>
          <xdr:row>267</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295775" y="57890833"/>
              <a:ext cx="1218142" cy="227542"/>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0</xdr:rowOff>
        </xdr:from>
        <xdr:to>
          <xdr:col>15</xdr:col>
          <xdr:colOff>0</xdr:colOff>
          <xdr:row>404</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444792"/>
              <a:ext cx="4493684" cy="227541"/>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14</xdr:col>
          <xdr:colOff>628650</xdr:colOff>
          <xdr:row>416</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9196333"/>
              <a:ext cx="3939116" cy="910167"/>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38100</xdr:rowOff>
        </xdr:from>
        <xdr:to>
          <xdr:col>3</xdr:col>
          <xdr:colOff>88900</xdr:colOff>
          <xdr:row>418</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1419225</xdr:colOff>
          <xdr:row>427</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580758"/>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38100</xdr:rowOff>
        </xdr:from>
        <xdr:to>
          <xdr:col>5</xdr:col>
          <xdr:colOff>222250</xdr:colOff>
          <xdr:row>431</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31750</xdr:rowOff>
        </xdr:from>
        <xdr:to>
          <xdr:col>5</xdr:col>
          <xdr:colOff>222250</xdr:colOff>
          <xdr:row>433</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38100</xdr:rowOff>
        </xdr:from>
        <xdr:to>
          <xdr:col>5</xdr:col>
          <xdr:colOff>222250</xdr:colOff>
          <xdr:row>435</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31750</xdr:rowOff>
        </xdr:from>
        <xdr:to>
          <xdr:col>5</xdr:col>
          <xdr:colOff>222250</xdr:colOff>
          <xdr:row>436</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86250" y="95424625"/>
              <a:ext cx="1227667" cy="497417"/>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86250" y="96779292"/>
              <a:ext cx="1227667" cy="227541"/>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777292"/>
              <a:ext cx="5455709" cy="264583"/>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50800</xdr:rowOff>
        </xdr:from>
        <xdr:to>
          <xdr:col>1</xdr:col>
          <xdr:colOff>393700</xdr:colOff>
          <xdr:row>244</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342900</xdr:rowOff>
        </xdr:from>
        <xdr:to>
          <xdr:col>3</xdr:col>
          <xdr:colOff>279400</xdr:colOff>
          <xdr:row>301</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152400</xdr:rowOff>
        </xdr:from>
        <xdr:to>
          <xdr:col>3</xdr:col>
          <xdr:colOff>247650</xdr:colOff>
          <xdr:row>296</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38100</xdr:rowOff>
        </xdr:from>
        <xdr:to>
          <xdr:col>3</xdr:col>
          <xdr:colOff>247650</xdr:colOff>
          <xdr:row>297</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107950</xdr:rowOff>
        </xdr:from>
        <xdr:to>
          <xdr:col>3</xdr:col>
          <xdr:colOff>247650</xdr:colOff>
          <xdr:row>298</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165100</xdr:rowOff>
        </xdr:from>
        <xdr:to>
          <xdr:col>3</xdr:col>
          <xdr:colOff>247650</xdr:colOff>
          <xdr:row>299</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299</xdr:row>
          <xdr:rowOff>228600</xdr:rowOff>
        </xdr:from>
        <xdr:to>
          <xdr:col>3</xdr:col>
          <xdr:colOff>247650</xdr:colOff>
          <xdr:row>300</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171450</xdr:rowOff>
        </xdr:from>
        <xdr:to>
          <xdr:col>3</xdr:col>
          <xdr:colOff>260350</xdr:colOff>
          <xdr:row>302</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31750</xdr:colOff>
          <xdr:row>7</xdr:row>
          <xdr:rowOff>12700</xdr:rowOff>
        </xdr:from>
        <xdr:to>
          <xdr:col>3</xdr:col>
          <xdr:colOff>31750</xdr:colOff>
          <xdr:row>8</xdr:row>
          <xdr:rowOff>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8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grpSp>
          <xdr:nvGrpSpPr>
            <xdr:cNvPr id="44585" name="Group 67">
              <a:extLst>
                <a:ext uri="{FF2B5EF4-FFF2-40B4-BE49-F238E27FC236}">
                  <a16:creationId xmlns:a16="http://schemas.microsoft.com/office/drawing/2014/main" id="{00000000-0008-0000-0800-000029AE0000}"/>
                </a:ext>
              </a:extLst>
            </xdr:cNvPr>
            <xdr:cNvGrpSpPr>
              <a:grpSpLocks/>
            </xdr:cNvGrpSpPr>
          </xdr:nvGrpSpPr>
          <xdr:grpSpPr bwMode="auto">
            <a:xfrm>
              <a:off x="4783667" y="1397000"/>
              <a:ext cx="1440391" cy="656167"/>
              <a:chOff x="472" y="167"/>
              <a:chExt cx="148" cy="69"/>
            </a:xfrm>
          </xdr:grpSpPr>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472" y="167"/>
                <a:ext cx="148" cy="69"/>
              </a:xfrm>
              <a:prstGeom prst="rect">
                <a:avLst/>
              </a:prstGeom>
              <a:noFill/>
              <a:ln w="9525">
                <a:miter lim="800000"/>
                <a:headEnd/>
                <a:tailEnd/>
              </a:ln>
              <a:extLst>
                <a:ext uri="{909E8E84-426E-40DD-AFC4-6F175D3DCCD1}">
                  <a14:hiddenFill>
                    <a:noFill/>
                  </a14:hiddenFill>
                </a:ext>
              </a:extLst>
            </xdr:spPr>
          </xdr:sp>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0800-000003AC0000}"/>
                  </a:ext>
                </a:extLst>
              </xdr:cNvPr>
              <xdr:cNvSpPr/>
            </xdr:nvSpPr>
            <xdr:spPr bwMode="auto">
              <a:xfrm>
                <a:off x="499"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0800-000004AC0000}"/>
                  </a:ext>
                </a:extLst>
              </xdr:cNvPr>
              <xdr:cNvSpPr/>
            </xdr:nvSpPr>
            <xdr:spPr bwMode="auto">
              <a:xfrm>
                <a:off x="568"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12700</xdr:rowOff>
        </xdr:from>
        <xdr:to>
          <xdr:col>3</xdr:col>
          <xdr:colOff>31750</xdr:colOff>
          <xdr:row>5</xdr:row>
          <xdr:rowOff>228600</xdr:rowOff>
        </xdr:to>
        <xdr:sp macro="" textlink="">
          <xdr:nvSpPr>
            <xdr:cNvPr id="44247" name="Check Box 215" hidden="1">
              <a:extLst>
                <a:ext uri="{63B3BB69-23CF-44E3-9099-C40C66FF867C}">
                  <a14:compatExt spid="_x0000_s44247"/>
                </a:ext>
                <a:ext uri="{FF2B5EF4-FFF2-40B4-BE49-F238E27FC236}">
                  <a16:creationId xmlns:a16="http://schemas.microsoft.com/office/drawing/2014/main" id="{00000000-0008-0000-08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6</xdr:row>
          <xdr:rowOff>12700</xdr:rowOff>
        </xdr:from>
        <xdr:to>
          <xdr:col>3</xdr:col>
          <xdr:colOff>31750</xdr:colOff>
          <xdr:row>6</xdr:row>
          <xdr:rowOff>228600</xdr:rowOff>
        </xdr:to>
        <xdr:sp macro="" textlink="">
          <xdr:nvSpPr>
            <xdr:cNvPr id="44248" name="Check Box 216" hidden="1">
              <a:extLst>
                <a:ext uri="{63B3BB69-23CF-44E3-9099-C40C66FF867C}">
                  <a14:compatExt spid="_x0000_s44248"/>
                </a:ext>
                <a:ext uri="{FF2B5EF4-FFF2-40B4-BE49-F238E27FC236}">
                  <a16:creationId xmlns:a16="http://schemas.microsoft.com/office/drawing/2014/main" id="{00000000-0008-0000-08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98778" y="6484056"/>
              <a:ext cx="5827889"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8.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3" Type="http://schemas.openxmlformats.org/officeDocument/2006/relationships/vmlDrawing" Target="../drawings/vmlDrawing9.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 Type="http://schemas.openxmlformats.org/officeDocument/2006/relationships/drawing" Target="../drawings/drawing9.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11.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10.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10.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12.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49.xml"/><Relationship Id="rId12" Type="http://schemas.openxmlformats.org/officeDocument/2006/relationships/ctrlProp" Target="../ctrlProps/ctrlProp65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4.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omments" Target="../comments14.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5.vml"/><Relationship Id="rId7" Type="http://schemas.openxmlformats.org/officeDocument/2006/relationships/ctrlProp" Target="../ctrlProps/ctrlProp67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677.xml"/><Relationship Id="rId5" Type="http://schemas.openxmlformats.org/officeDocument/2006/relationships/ctrlProp" Target="../ctrlProps/ctrlProp676.xml"/><Relationship Id="rId4" Type="http://schemas.openxmlformats.org/officeDocument/2006/relationships/ctrlProp" Target="../ctrlProps/ctrlProp675.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82.xml"/><Relationship Id="rId5" Type="http://schemas.openxmlformats.org/officeDocument/2006/relationships/ctrlProp" Target="../ctrlProps/ctrlProp681.xml"/><Relationship Id="rId4" Type="http://schemas.openxmlformats.org/officeDocument/2006/relationships/ctrlProp" Target="../ctrlProps/ctrlProp6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17.vml"/><Relationship Id="rId21" Type="http://schemas.openxmlformats.org/officeDocument/2006/relationships/ctrlProp" Target="../ctrlProps/ctrlProp698.xml"/><Relationship Id="rId34" Type="http://schemas.openxmlformats.org/officeDocument/2006/relationships/ctrlProp" Target="../ctrlProps/ctrlProp711.xml"/><Relationship Id="rId42" Type="http://schemas.openxmlformats.org/officeDocument/2006/relationships/ctrlProp" Target="../ctrlProps/ctrlProp719.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17.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41" Type="http://schemas.openxmlformats.org/officeDocument/2006/relationships/ctrlProp" Target="../ctrlProps/ctrlProp718.xml"/><Relationship Id="rId1" Type="http://schemas.openxmlformats.org/officeDocument/2006/relationships/printerSettings" Target="../printerSettings/printerSettings19.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40" Type="http://schemas.openxmlformats.org/officeDocument/2006/relationships/ctrlProp" Target="../ctrlProps/ctrlProp717.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4" Type="http://schemas.openxmlformats.org/officeDocument/2006/relationships/ctrlProp" Target="../ctrlProps/ctrlProp721.xml"/><Relationship Id="rId4" Type="http://schemas.openxmlformats.org/officeDocument/2006/relationships/oleObject" Target="../embeddings/Microsoft_Word_97_-_2003_Document.doc"/><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43" Type="http://schemas.openxmlformats.org/officeDocument/2006/relationships/ctrlProp" Target="../ctrlProps/ctrlProp72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18.vml"/><Relationship Id="rId21" Type="http://schemas.openxmlformats.org/officeDocument/2006/relationships/ctrlProp" Target="../ctrlProps/ctrlProp737.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2" Type="http://schemas.openxmlformats.org/officeDocument/2006/relationships/drawing" Target="../drawings/drawing18.xml"/><Relationship Id="rId16" Type="http://schemas.openxmlformats.org/officeDocument/2006/relationships/ctrlProp" Target="../ctrlProps/ctrlProp732.xml"/><Relationship Id="rId20" Type="http://schemas.openxmlformats.org/officeDocument/2006/relationships/ctrlProp" Target="../ctrlProps/ctrlProp736.xml"/><Relationship Id="rId1" Type="http://schemas.openxmlformats.org/officeDocument/2006/relationships/printerSettings" Target="../printerSettings/printerSettings20.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5" Type="http://schemas.openxmlformats.org/officeDocument/2006/relationships/image" Target="../media/image4.emf"/><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omments" Target="../comments18.xml"/><Relationship Id="rId10" Type="http://schemas.openxmlformats.org/officeDocument/2006/relationships/ctrlProp" Target="../ctrlProps/ctrlProp726.xml"/><Relationship Id="rId19" Type="http://schemas.openxmlformats.org/officeDocument/2006/relationships/ctrlProp" Target="../ctrlProps/ctrlProp735.xml"/><Relationship Id="rId4" Type="http://schemas.openxmlformats.org/officeDocument/2006/relationships/oleObject" Target="../embeddings/Microsoft_Word_97_-_2003_Document1.doc"/><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26" Type="http://schemas.openxmlformats.org/officeDocument/2006/relationships/ctrlProp" Target="../ctrlProps/ctrlProp764.xml"/><Relationship Id="rId3" Type="http://schemas.openxmlformats.org/officeDocument/2006/relationships/vmlDrawing" Target="../drawings/vmlDrawing19.vml"/><Relationship Id="rId21" Type="http://schemas.openxmlformats.org/officeDocument/2006/relationships/ctrlProp" Target="../ctrlProps/ctrlProp759.xml"/><Relationship Id="rId34" Type="http://schemas.openxmlformats.org/officeDocument/2006/relationships/ctrlProp" Target="../ctrlProps/ctrlProp772.x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5" Type="http://schemas.openxmlformats.org/officeDocument/2006/relationships/ctrlProp" Target="../ctrlProps/ctrlProp763.xml"/><Relationship Id="rId33" Type="http://schemas.openxmlformats.org/officeDocument/2006/relationships/ctrlProp" Target="../ctrlProps/ctrlProp771.xml"/><Relationship Id="rId2" Type="http://schemas.openxmlformats.org/officeDocument/2006/relationships/drawing" Target="../drawings/drawing19.xml"/><Relationship Id="rId16" Type="http://schemas.openxmlformats.org/officeDocument/2006/relationships/ctrlProp" Target="../ctrlProps/ctrlProp754.xml"/><Relationship Id="rId20" Type="http://schemas.openxmlformats.org/officeDocument/2006/relationships/ctrlProp" Target="../ctrlProps/ctrlProp758.xml"/><Relationship Id="rId29" Type="http://schemas.openxmlformats.org/officeDocument/2006/relationships/ctrlProp" Target="../ctrlProps/ctrlProp767.xml"/><Relationship Id="rId1" Type="http://schemas.openxmlformats.org/officeDocument/2006/relationships/printerSettings" Target="../printerSettings/printerSettings21.bin"/><Relationship Id="rId6" Type="http://schemas.openxmlformats.org/officeDocument/2006/relationships/ctrlProp" Target="../ctrlProps/ctrlProp744.xml"/><Relationship Id="rId11" Type="http://schemas.openxmlformats.org/officeDocument/2006/relationships/ctrlProp" Target="../ctrlProps/ctrlProp749.xml"/><Relationship Id="rId24" Type="http://schemas.openxmlformats.org/officeDocument/2006/relationships/ctrlProp" Target="../ctrlProps/ctrlProp762.xml"/><Relationship Id="rId32" Type="http://schemas.openxmlformats.org/officeDocument/2006/relationships/ctrlProp" Target="../ctrlProps/ctrlProp770.xml"/><Relationship Id="rId5" Type="http://schemas.openxmlformats.org/officeDocument/2006/relationships/image" Target="../media/image5.emf"/><Relationship Id="rId15" Type="http://schemas.openxmlformats.org/officeDocument/2006/relationships/ctrlProp" Target="../ctrlProps/ctrlProp753.xml"/><Relationship Id="rId23" Type="http://schemas.openxmlformats.org/officeDocument/2006/relationships/ctrlProp" Target="../ctrlProps/ctrlProp761.xml"/><Relationship Id="rId28" Type="http://schemas.openxmlformats.org/officeDocument/2006/relationships/ctrlProp" Target="../ctrlProps/ctrlProp766.xml"/><Relationship Id="rId36" Type="http://schemas.openxmlformats.org/officeDocument/2006/relationships/comments" Target="../comments19.xml"/><Relationship Id="rId10" Type="http://schemas.openxmlformats.org/officeDocument/2006/relationships/ctrlProp" Target="../ctrlProps/ctrlProp748.xml"/><Relationship Id="rId19" Type="http://schemas.openxmlformats.org/officeDocument/2006/relationships/ctrlProp" Target="../ctrlProps/ctrlProp757.xml"/><Relationship Id="rId31" Type="http://schemas.openxmlformats.org/officeDocument/2006/relationships/ctrlProp" Target="../ctrlProps/ctrlProp769.xml"/><Relationship Id="rId4" Type="http://schemas.openxmlformats.org/officeDocument/2006/relationships/oleObject" Target="../embeddings/Microsoft_Word_97_-_2003_Document2.doc"/><Relationship Id="rId9" Type="http://schemas.openxmlformats.org/officeDocument/2006/relationships/ctrlProp" Target="../ctrlProps/ctrlProp747.xml"/><Relationship Id="rId14" Type="http://schemas.openxmlformats.org/officeDocument/2006/relationships/ctrlProp" Target="../ctrlProps/ctrlProp752.xml"/><Relationship Id="rId22" Type="http://schemas.openxmlformats.org/officeDocument/2006/relationships/ctrlProp" Target="../ctrlProps/ctrlProp760.xml"/><Relationship Id="rId27" Type="http://schemas.openxmlformats.org/officeDocument/2006/relationships/ctrlProp" Target="../ctrlProps/ctrlProp765.xml"/><Relationship Id="rId30" Type="http://schemas.openxmlformats.org/officeDocument/2006/relationships/ctrlProp" Target="../ctrlProps/ctrlProp768.xml"/><Relationship Id="rId35" Type="http://schemas.openxmlformats.org/officeDocument/2006/relationships/ctrlProp" Target="../ctrlProps/ctrlProp77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78.xml"/><Relationship Id="rId3" Type="http://schemas.openxmlformats.org/officeDocument/2006/relationships/vmlDrawing" Target="../drawings/vmlDrawing20.vml"/><Relationship Id="rId7" Type="http://schemas.openxmlformats.org/officeDocument/2006/relationships/ctrlProp" Target="../ctrlProps/ctrlProp777.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776.xml"/><Relationship Id="rId11" Type="http://schemas.openxmlformats.org/officeDocument/2006/relationships/comments" Target="../comments20.xml"/><Relationship Id="rId5" Type="http://schemas.openxmlformats.org/officeDocument/2006/relationships/ctrlProp" Target="../ctrlProps/ctrlProp775.xml"/><Relationship Id="rId10" Type="http://schemas.openxmlformats.org/officeDocument/2006/relationships/ctrlProp" Target="../ctrlProps/ctrlProp780.xml"/><Relationship Id="rId4" Type="http://schemas.openxmlformats.org/officeDocument/2006/relationships/ctrlProp" Target="../ctrlProps/ctrlProp774.xml"/><Relationship Id="rId9" Type="http://schemas.openxmlformats.org/officeDocument/2006/relationships/ctrlProp" Target="../ctrlProps/ctrlProp77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83.xml"/><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 Type="http://schemas.openxmlformats.org/officeDocument/2006/relationships/vmlDrawing" Target="../drawings/vmlDrawing21.vml"/><Relationship Id="rId21" Type="http://schemas.openxmlformats.org/officeDocument/2006/relationships/ctrlProp" Target="../ctrlProps/ctrlProp796.xml"/><Relationship Id="rId34" Type="http://schemas.openxmlformats.org/officeDocument/2006/relationships/ctrlProp" Target="../ctrlProps/ctrlProp809.xml"/><Relationship Id="rId7" Type="http://schemas.openxmlformats.org/officeDocument/2006/relationships/ctrlProp" Target="../ctrlProps/ctrlProp782.x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1" Type="http://schemas.openxmlformats.org/officeDocument/2006/relationships/printerSettings" Target="../printerSettings/printerSettings23.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5" Type="http://schemas.openxmlformats.org/officeDocument/2006/relationships/image" Target="../media/image6.emf"/><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oleObject" Target="../embeddings/Microsoft_Word_97_-_2003_Document3.doc"/><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14.xml"/><Relationship Id="rId13" Type="http://schemas.openxmlformats.org/officeDocument/2006/relationships/ctrlProp" Target="../ctrlProps/ctrlProp819.xml"/><Relationship Id="rId18" Type="http://schemas.openxmlformats.org/officeDocument/2006/relationships/ctrlProp" Target="../ctrlProps/ctrlProp824.xml"/><Relationship Id="rId3" Type="http://schemas.openxmlformats.org/officeDocument/2006/relationships/vmlDrawing" Target="../drawings/vmlDrawing22.vml"/><Relationship Id="rId7" Type="http://schemas.openxmlformats.org/officeDocument/2006/relationships/ctrlProp" Target="../ctrlProps/ctrlProp813.xml"/><Relationship Id="rId12" Type="http://schemas.openxmlformats.org/officeDocument/2006/relationships/ctrlProp" Target="../ctrlProps/ctrlProp818.xml"/><Relationship Id="rId17" Type="http://schemas.openxmlformats.org/officeDocument/2006/relationships/ctrlProp" Target="../ctrlProps/ctrlProp823.xml"/><Relationship Id="rId2" Type="http://schemas.openxmlformats.org/officeDocument/2006/relationships/drawing" Target="../drawings/drawing22.xml"/><Relationship Id="rId16" Type="http://schemas.openxmlformats.org/officeDocument/2006/relationships/ctrlProp" Target="../ctrlProps/ctrlProp822.xml"/><Relationship Id="rId1" Type="http://schemas.openxmlformats.org/officeDocument/2006/relationships/printerSettings" Target="../printerSettings/printerSettings24.bin"/><Relationship Id="rId6" Type="http://schemas.openxmlformats.org/officeDocument/2006/relationships/ctrlProp" Target="../ctrlProps/ctrlProp812.xml"/><Relationship Id="rId11" Type="http://schemas.openxmlformats.org/officeDocument/2006/relationships/ctrlProp" Target="../ctrlProps/ctrlProp817.xml"/><Relationship Id="rId5" Type="http://schemas.openxmlformats.org/officeDocument/2006/relationships/ctrlProp" Target="../ctrlProps/ctrlProp811.xml"/><Relationship Id="rId15" Type="http://schemas.openxmlformats.org/officeDocument/2006/relationships/ctrlProp" Target="../ctrlProps/ctrlProp821.xml"/><Relationship Id="rId10" Type="http://schemas.openxmlformats.org/officeDocument/2006/relationships/ctrlProp" Target="../ctrlProps/ctrlProp816.xml"/><Relationship Id="rId19" Type="http://schemas.openxmlformats.org/officeDocument/2006/relationships/comments" Target="../comments22.xml"/><Relationship Id="rId4" Type="http://schemas.openxmlformats.org/officeDocument/2006/relationships/ctrlProp" Target="../ctrlProps/ctrlProp810.xml"/><Relationship Id="rId9" Type="http://schemas.openxmlformats.org/officeDocument/2006/relationships/ctrlProp" Target="../ctrlProps/ctrlProp815.xml"/><Relationship Id="rId14" Type="http://schemas.openxmlformats.org/officeDocument/2006/relationships/ctrlProp" Target="../ctrlProps/ctrlProp82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50" Type="http://schemas.openxmlformats.org/officeDocument/2006/relationships/ctrlProp" Target="../ctrlProps/ctrlProp869.xml"/><Relationship Id="rId55" Type="http://schemas.openxmlformats.org/officeDocument/2006/relationships/ctrlProp" Target="../ctrlProps/ctrlProp874.xml"/><Relationship Id="rId63" Type="http://schemas.openxmlformats.org/officeDocument/2006/relationships/ctrlProp" Target="../ctrlProps/ctrlProp882.xml"/><Relationship Id="rId68" Type="http://schemas.openxmlformats.org/officeDocument/2006/relationships/ctrlProp" Target="../ctrlProps/ctrlProp887.xml"/><Relationship Id="rId76" Type="http://schemas.openxmlformats.org/officeDocument/2006/relationships/ctrlProp" Target="../ctrlProps/ctrlProp895.xml"/><Relationship Id="rId7" Type="http://schemas.openxmlformats.org/officeDocument/2006/relationships/ctrlProp" Target="../ctrlProps/ctrlProp826.xml"/><Relationship Id="rId71" Type="http://schemas.openxmlformats.org/officeDocument/2006/relationships/ctrlProp" Target="../ctrlProps/ctrlProp890.xml"/><Relationship Id="rId2" Type="http://schemas.openxmlformats.org/officeDocument/2006/relationships/drawing" Target="../drawings/drawing23.xml"/><Relationship Id="rId16" Type="http://schemas.openxmlformats.org/officeDocument/2006/relationships/ctrlProp" Target="../ctrlProps/ctrlProp835.xml"/><Relationship Id="rId29" Type="http://schemas.openxmlformats.org/officeDocument/2006/relationships/ctrlProp" Target="../ctrlProps/ctrlProp848.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3" Type="http://schemas.openxmlformats.org/officeDocument/2006/relationships/ctrlProp" Target="../ctrlProps/ctrlProp872.xml"/><Relationship Id="rId58" Type="http://schemas.openxmlformats.org/officeDocument/2006/relationships/ctrlProp" Target="../ctrlProps/ctrlProp877.xml"/><Relationship Id="rId66" Type="http://schemas.openxmlformats.org/officeDocument/2006/relationships/ctrlProp" Target="../ctrlProps/ctrlProp885.xml"/><Relationship Id="rId74" Type="http://schemas.openxmlformats.org/officeDocument/2006/relationships/ctrlProp" Target="../ctrlProps/ctrlProp893.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880.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52" Type="http://schemas.openxmlformats.org/officeDocument/2006/relationships/ctrlProp" Target="../ctrlProps/ctrlProp871.xml"/><Relationship Id="rId60" Type="http://schemas.openxmlformats.org/officeDocument/2006/relationships/ctrlProp" Target="../ctrlProps/ctrlProp879.xml"/><Relationship Id="rId65" Type="http://schemas.openxmlformats.org/officeDocument/2006/relationships/ctrlProp" Target="../ctrlProps/ctrlProp884.xml"/><Relationship Id="rId73" Type="http://schemas.openxmlformats.org/officeDocument/2006/relationships/ctrlProp" Target="../ctrlProps/ctrlProp892.xml"/><Relationship Id="rId78" Type="http://schemas.openxmlformats.org/officeDocument/2006/relationships/ctrlProp" Target="../ctrlProps/ctrlProp897.xml"/><Relationship Id="rId4" Type="http://schemas.openxmlformats.org/officeDocument/2006/relationships/oleObject" Target="../embeddings/Microsoft_Word_97_-_2003_Document4.doc"/><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56" Type="http://schemas.openxmlformats.org/officeDocument/2006/relationships/ctrlProp" Target="../ctrlProps/ctrlProp875.xml"/><Relationship Id="rId64" Type="http://schemas.openxmlformats.org/officeDocument/2006/relationships/ctrlProp" Target="../ctrlProps/ctrlProp883.xml"/><Relationship Id="rId69" Type="http://schemas.openxmlformats.org/officeDocument/2006/relationships/ctrlProp" Target="../ctrlProps/ctrlProp888.xml"/><Relationship Id="rId77" Type="http://schemas.openxmlformats.org/officeDocument/2006/relationships/ctrlProp" Target="../ctrlProps/ctrlProp896.xml"/><Relationship Id="rId8" Type="http://schemas.openxmlformats.org/officeDocument/2006/relationships/ctrlProp" Target="../ctrlProps/ctrlProp827.xml"/><Relationship Id="rId51" Type="http://schemas.openxmlformats.org/officeDocument/2006/relationships/ctrlProp" Target="../ctrlProps/ctrlProp870.xml"/><Relationship Id="rId72" Type="http://schemas.openxmlformats.org/officeDocument/2006/relationships/ctrlProp" Target="../ctrlProps/ctrlProp891.xml"/><Relationship Id="rId3" Type="http://schemas.openxmlformats.org/officeDocument/2006/relationships/vmlDrawing" Target="../drawings/vmlDrawing23.v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59" Type="http://schemas.openxmlformats.org/officeDocument/2006/relationships/ctrlProp" Target="../ctrlProps/ctrlProp878.xml"/><Relationship Id="rId67" Type="http://schemas.openxmlformats.org/officeDocument/2006/relationships/ctrlProp" Target="../ctrlProps/ctrlProp886.xml"/><Relationship Id="rId20" Type="http://schemas.openxmlformats.org/officeDocument/2006/relationships/ctrlProp" Target="../ctrlProps/ctrlProp839.xml"/><Relationship Id="rId41" Type="http://schemas.openxmlformats.org/officeDocument/2006/relationships/ctrlProp" Target="../ctrlProps/ctrlProp860.xml"/><Relationship Id="rId54" Type="http://schemas.openxmlformats.org/officeDocument/2006/relationships/ctrlProp" Target="../ctrlProps/ctrlProp873.xml"/><Relationship Id="rId62" Type="http://schemas.openxmlformats.org/officeDocument/2006/relationships/ctrlProp" Target="../ctrlProps/ctrlProp881.xml"/><Relationship Id="rId70" Type="http://schemas.openxmlformats.org/officeDocument/2006/relationships/ctrlProp" Target="../ctrlProps/ctrlProp889.xml"/><Relationship Id="rId75" Type="http://schemas.openxmlformats.org/officeDocument/2006/relationships/ctrlProp" Target="../ctrlProps/ctrlProp894.xml"/><Relationship Id="rId1" Type="http://schemas.openxmlformats.org/officeDocument/2006/relationships/printerSettings" Target="../printerSettings/printerSettings25.bin"/><Relationship Id="rId6" Type="http://schemas.openxmlformats.org/officeDocument/2006/relationships/ctrlProp" Target="../ctrlProps/ctrlProp825.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57" Type="http://schemas.openxmlformats.org/officeDocument/2006/relationships/ctrlProp" Target="../ctrlProps/ctrlProp87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07.xml"/><Relationship Id="rId18" Type="http://schemas.openxmlformats.org/officeDocument/2006/relationships/ctrlProp" Target="../ctrlProps/ctrlProp912.xml"/><Relationship Id="rId26" Type="http://schemas.openxmlformats.org/officeDocument/2006/relationships/ctrlProp" Target="../ctrlProps/ctrlProp920.xml"/><Relationship Id="rId39" Type="http://schemas.openxmlformats.org/officeDocument/2006/relationships/ctrlProp" Target="../ctrlProps/ctrlProp933.xml"/><Relationship Id="rId3" Type="http://schemas.openxmlformats.org/officeDocument/2006/relationships/vmlDrawing" Target="../drawings/vmlDrawing24.vml"/><Relationship Id="rId21" Type="http://schemas.openxmlformats.org/officeDocument/2006/relationships/ctrlProp" Target="../ctrlProps/ctrlProp915.xml"/><Relationship Id="rId34" Type="http://schemas.openxmlformats.org/officeDocument/2006/relationships/ctrlProp" Target="../ctrlProps/ctrlProp928.xml"/><Relationship Id="rId42" Type="http://schemas.openxmlformats.org/officeDocument/2006/relationships/ctrlProp" Target="../ctrlProps/ctrlProp936.xml"/><Relationship Id="rId47" Type="http://schemas.openxmlformats.org/officeDocument/2006/relationships/ctrlProp" Target="../ctrlProps/ctrlProp941.xml"/><Relationship Id="rId50" Type="http://schemas.openxmlformats.org/officeDocument/2006/relationships/ctrlProp" Target="../ctrlProps/ctrlProp944.xml"/><Relationship Id="rId7" Type="http://schemas.openxmlformats.org/officeDocument/2006/relationships/ctrlProp" Target="../ctrlProps/ctrlProp901.xml"/><Relationship Id="rId12" Type="http://schemas.openxmlformats.org/officeDocument/2006/relationships/ctrlProp" Target="../ctrlProps/ctrlProp906.xml"/><Relationship Id="rId17" Type="http://schemas.openxmlformats.org/officeDocument/2006/relationships/ctrlProp" Target="../ctrlProps/ctrlProp911.xml"/><Relationship Id="rId25" Type="http://schemas.openxmlformats.org/officeDocument/2006/relationships/ctrlProp" Target="../ctrlProps/ctrlProp919.xml"/><Relationship Id="rId33" Type="http://schemas.openxmlformats.org/officeDocument/2006/relationships/ctrlProp" Target="../ctrlProps/ctrlProp927.xml"/><Relationship Id="rId38" Type="http://schemas.openxmlformats.org/officeDocument/2006/relationships/ctrlProp" Target="../ctrlProps/ctrlProp932.xml"/><Relationship Id="rId46" Type="http://schemas.openxmlformats.org/officeDocument/2006/relationships/ctrlProp" Target="../ctrlProps/ctrlProp940.xml"/><Relationship Id="rId2" Type="http://schemas.openxmlformats.org/officeDocument/2006/relationships/drawing" Target="../drawings/drawing24.xml"/><Relationship Id="rId16" Type="http://schemas.openxmlformats.org/officeDocument/2006/relationships/ctrlProp" Target="../ctrlProps/ctrlProp910.xml"/><Relationship Id="rId20" Type="http://schemas.openxmlformats.org/officeDocument/2006/relationships/ctrlProp" Target="../ctrlProps/ctrlProp914.xml"/><Relationship Id="rId29" Type="http://schemas.openxmlformats.org/officeDocument/2006/relationships/ctrlProp" Target="../ctrlProps/ctrlProp923.xml"/><Relationship Id="rId41" Type="http://schemas.openxmlformats.org/officeDocument/2006/relationships/ctrlProp" Target="../ctrlProps/ctrlProp935.xml"/><Relationship Id="rId1" Type="http://schemas.openxmlformats.org/officeDocument/2006/relationships/printerSettings" Target="../printerSettings/printerSettings26.bin"/><Relationship Id="rId6" Type="http://schemas.openxmlformats.org/officeDocument/2006/relationships/ctrlProp" Target="../ctrlProps/ctrlProp900.xml"/><Relationship Id="rId11" Type="http://schemas.openxmlformats.org/officeDocument/2006/relationships/ctrlProp" Target="../ctrlProps/ctrlProp905.xml"/><Relationship Id="rId24" Type="http://schemas.openxmlformats.org/officeDocument/2006/relationships/ctrlProp" Target="../ctrlProps/ctrlProp918.xml"/><Relationship Id="rId32" Type="http://schemas.openxmlformats.org/officeDocument/2006/relationships/ctrlProp" Target="../ctrlProps/ctrlProp926.xml"/><Relationship Id="rId37" Type="http://schemas.openxmlformats.org/officeDocument/2006/relationships/ctrlProp" Target="../ctrlProps/ctrlProp931.xml"/><Relationship Id="rId40" Type="http://schemas.openxmlformats.org/officeDocument/2006/relationships/ctrlProp" Target="../ctrlProps/ctrlProp934.xml"/><Relationship Id="rId45" Type="http://schemas.openxmlformats.org/officeDocument/2006/relationships/ctrlProp" Target="../ctrlProps/ctrlProp939.xml"/><Relationship Id="rId5" Type="http://schemas.openxmlformats.org/officeDocument/2006/relationships/ctrlProp" Target="../ctrlProps/ctrlProp899.xml"/><Relationship Id="rId15" Type="http://schemas.openxmlformats.org/officeDocument/2006/relationships/ctrlProp" Target="../ctrlProps/ctrlProp909.xml"/><Relationship Id="rId23" Type="http://schemas.openxmlformats.org/officeDocument/2006/relationships/ctrlProp" Target="../ctrlProps/ctrlProp917.xml"/><Relationship Id="rId28" Type="http://schemas.openxmlformats.org/officeDocument/2006/relationships/ctrlProp" Target="../ctrlProps/ctrlProp922.xml"/><Relationship Id="rId36" Type="http://schemas.openxmlformats.org/officeDocument/2006/relationships/ctrlProp" Target="../ctrlProps/ctrlProp930.xml"/><Relationship Id="rId49" Type="http://schemas.openxmlformats.org/officeDocument/2006/relationships/ctrlProp" Target="../ctrlProps/ctrlProp943.xml"/><Relationship Id="rId10" Type="http://schemas.openxmlformats.org/officeDocument/2006/relationships/ctrlProp" Target="../ctrlProps/ctrlProp904.xml"/><Relationship Id="rId19" Type="http://schemas.openxmlformats.org/officeDocument/2006/relationships/ctrlProp" Target="../ctrlProps/ctrlProp913.xml"/><Relationship Id="rId31" Type="http://schemas.openxmlformats.org/officeDocument/2006/relationships/ctrlProp" Target="../ctrlProps/ctrlProp925.xml"/><Relationship Id="rId44" Type="http://schemas.openxmlformats.org/officeDocument/2006/relationships/ctrlProp" Target="../ctrlProps/ctrlProp938.xml"/><Relationship Id="rId4" Type="http://schemas.openxmlformats.org/officeDocument/2006/relationships/ctrlProp" Target="../ctrlProps/ctrlProp898.xml"/><Relationship Id="rId9" Type="http://schemas.openxmlformats.org/officeDocument/2006/relationships/ctrlProp" Target="../ctrlProps/ctrlProp903.xml"/><Relationship Id="rId14" Type="http://schemas.openxmlformats.org/officeDocument/2006/relationships/ctrlProp" Target="../ctrlProps/ctrlProp908.xml"/><Relationship Id="rId22" Type="http://schemas.openxmlformats.org/officeDocument/2006/relationships/ctrlProp" Target="../ctrlProps/ctrlProp916.xml"/><Relationship Id="rId27" Type="http://schemas.openxmlformats.org/officeDocument/2006/relationships/ctrlProp" Target="../ctrlProps/ctrlProp921.xml"/><Relationship Id="rId30" Type="http://schemas.openxmlformats.org/officeDocument/2006/relationships/ctrlProp" Target="../ctrlProps/ctrlProp924.xml"/><Relationship Id="rId35" Type="http://schemas.openxmlformats.org/officeDocument/2006/relationships/ctrlProp" Target="../ctrlProps/ctrlProp929.xml"/><Relationship Id="rId43" Type="http://schemas.openxmlformats.org/officeDocument/2006/relationships/ctrlProp" Target="../ctrlProps/ctrlProp937.xml"/><Relationship Id="rId48" Type="http://schemas.openxmlformats.org/officeDocument/2006/relationships/ctrlProp" Target="../ctrlProps/ctrlProp942.xml"/><Relationship Id="rId8" Type="http://schemas.openxmlformats.org/officeDocument/2006/relationships/ctrlProp" Target="../ctrlProps/ctrlProp902.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49.xml"/><Relationship Id="rId13" Type="http://schemas.openxmlformats.org/officeDocument/2006/relationships/ctrlProp" Target="../ctrlProps/ctrlProp954.xml"/><Relationship Id="rId3" Type="http://schemas.openxmlformats.org/officeDocument/2006/relationships/vmlDrawing" Target="../drawings/vmlDrawing25.vml"/><Relationship Id="rId7" Type="http://schemas.openxmlformats.org/officeDocument/2006/relationships/ctrlProp" Target="../ctrlProps/ctrlProp948.xml"/><Relationship Id="rId12" Type="http://schemas.openxmlformats.org/officeDocument/2006/relationships/ctrlProp" Target="../ctrlProps/ctrlProp953.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947.xml"/><Relationship Id="rId11" Type="http://schemas.openxmlformats.org/officeDocument/2006/relationships/ctrlProp" Target="../ctrlProps/ctrlProp952.xml"/><Relationship Id="rId5" Type="http://schemas.openxmlformats.org/officeDocument/2006/relationships/ctrlProp" Target="../ctrlProps/ctrlProp946.xml"/><Relationship Id="rId15" Type="http://schemas.openxmlformats.org/officeDocument/2006/relationships/ctrlProp" Target="../ctrlProps/ctrlProp956.xml"/><Relationship Id="rId10" Type="http://schemas.openxmlformats.org/officeDocument/2006/relationships/ctrlProp" Target="../ctrlProps/ctrlProp951.xml"/><Relationship Id="rId4" Type="http://schemas.openxmlformats.org/officeDocument/2006/relationships/ctrlProp" Target="../ctrlProps/ctrlProp945.xml"/><Relationship Id="rId9" Type="http://schemas.openxmlformats.org/officeDocument/2006/relationships/ctrlProp" Target="../ctrlProps/ctrlProp950.xml"/><Relationship Id="rId14" Type="http://schemas.openxmlformats.org/officeDocument/2006/relationships/ctrlProp" Target="../ctrlProps/ctrlProp9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1.xml"/><Relationship Id="rId3" Type="http://schemas.openxmlformats.org/officeDocument/2006/relationships/vmlDrawing" Target="../drawings/vmlDrawing26.vml"/><Relationship Id="rId7" Type="http://schemas.openxmlformats.org/officeDocument/2006/relationships/ctrlProp" Target="../ctrlProps/ctrlProp960.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959.xml"/><Relationship Id="rId5" Type="http://schemas.openxmlformats.org/officeDocument/2006/relationships/ctrlProp" Target="../ctrlProps/ctrlProp958.xml"/><Relationship Id="rId4" Type="http://schemas.openxmlformats.org/officeDocument/2006/relationships/ctrlProp" Target="../ctrlProps/ctrlProp957.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103" Type="http://schemas.openxmlformats.org/officeDocument/2006/relationships/ctrlProp" Target="../ctrlProps/ctrlProp107.xml"/><Relationship Id="rId108" Type="http://schemas.openxmlformats.org/officeDocument/2006/relationships/ctrlProp" Target="../ctrlProps/ctrlProp112.xml"/><Relationship Id="rId116" Type="http://schemas.openxmlformats.org/officeDocument/2006/relationships/ctrlProp" Target="../ctrlProps/ctrlProp120.xml"/><Relationship Id="rId124" Type="http://schemas.openxmlformats.org/officeDocument/2006/relationships/ctrlProp" Target="../ctrlProps/ctrlProp128.xml"/><Relationship Id="rId129" Type="http://schemas.openxmlformats.org/officeDocument/2006/relationships/ctrlProp" Target="../ctrlProps/ctrlProp133.xml"/><Relationship Id="rId137" Type="http://schemas.openxmlformats.org/officeDocument/2006/relationships/ctrlProp" Target="../ctrlProps/ctrlProp14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70" Type="http://schemas.openxmlformats.org/officeDocument/2006/relationships/ctrlProp" Target="../ctrlProps/ctrlProp74.xml"/><Relationship Id="rId75" Type="http://schemas.openxmlformats.org/officeDocument/2006/relationships/ctrlProp" Target="../ctrlProps/ctrlProp79.xml"/><Relationship Id="rId83" Type="http://schemas.openxmlformats.org/officeDocument/2006/relationships/ctrlProp" Target="../ctrlProps/ctrlProp87.xml"/><Relationship Id="rId88" Type="http://schemas.openxmlformats.org/officeDocument/2006/relationships/ctrlProp" Target="../ctrlProps/ctrlProp92.xml"/><Relationship Id="rId91" Type="http://schemas.openxmlformats.org/officeDocument/2006/relationships/ctrlProp" Target="../ctrlProps/ctrlProp95.xml"/><Relationship Id="rId96" Type="http://schemas.openxmlformats.org/officeDocument/2006/relationships/ctrlProp" Target="../ctrlProps/ctrlProp100.xml"/><Relationship Id="rId111" Type="http://schemas.openxmlformats.org/officeDocument/2006/relationships/ctrlProp" Target="../ctrlProps/ctrlProp115.xml"/><Relationship Id="rId132" Type="http://schemas.openxmlformats.org/officeDocument/2006/relationships/ctrlProp" Target="../ctrlProps/ctrlProp136.xml"/><Relationship Id="rId140" Type="http://schemas.openxmlformats.org/officeDocument/2006/relationships/ctrlProp" Target="../ctrlProps/ctrlProp144.xml"/><Relationship Id="rId145" Type="http://schemas.openxmlformats.org/officeDocument/2006/relationships/ctrlProp" Target="../ctrlProps/ctrlProp149.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61" Type="http://schemas.openxmlformats.org/officeDocument/2006/relationships/ctrlProp" Target="../ctrlProps/ctrlProp65.xml"/><Relationship Id="rId82" Type="http://schemas.openxmlformats.org/officeDocument/2006/relationships/ctrlProp" Target="../ctrlProps/ctrlProp86.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omments" Target="../comments3.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33" Type="http://schemas.openxmlformats.org/officeDocument/2006/relationships/ctrlProp" Target="../ctrlProps/ctrlProp280.xml"/><Relationship Id="rId138" Type="http://schemas.openxmlformats.org/officeDocument/2006/relationships/ctrlProp" Target="../ctrlProps/ctrlProp285.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144" Type="http://schemas.openxmlformats.org/officeDocument/2006/relationships/ctrlProp" Target="../ctrlProps/ctrlProp291.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134" Type="http://schemas.openxmlformats.org/officeDocument/2006/relationships/ctrlProp" Target="../ctrlProps/ctrlProp281.xml"/><Relationship Id="rId139" Type="http://schemas.openxmlformats.org/officeDocument/2006/relationships/ctrlProp" Target="../ctrlProps/ctrlProp286.xml"/><Relationship Id="rId80" Type="http://schemas.openxmlformats.org/officeDocument/2006/relationships/ctrlProp" Target="../ctrlProps/ctrlProp227.xml"/><Relationship Id="rId85" Type="http://schemas.openxmlformats.org/officeDocument/2006/relationships/ctrlProp" Target="../ctrlProps/ctrlProp232.xml"/><Relationship Id="rId3" Type="http://schemas.openxmlformats.org/officeDocument/2006/relationships/vmlDrawing" Target="../drawings/vmlDrawing4.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59" Type="http://schemas.openxmlformats.org/officeDocument/2006/relationships/ctrlProp" Target="../ctrlProps/ctrlProp206.xml"/><Relationship Id="rId67" Type="http://schemas.openxmlformats.org/officeDocument/2006/relationships/ctrlProp" Target="../ctrlProps/ctrlProp214.xml"/><Relationship Id="rId103" Type="http://schemas.openxmlformats.org/officeDocument/2006/relationships/ctrlProp" Target="../ctrlProps/ctrlProp250.xml"/><Relationship Id="rId108" Type="http://schemas.openxmlformats.org/officeDocument/2006/relationships/ctrlProp" Target="../ctrlProps/ctrlProp255.xml"/><Relationship Id="rId116" Type="http://schemas.openxmlformats.org/officeDocument/2006/relationships/ctrlProp" Target="../ctrlProps/ctrlProp263.xml"/><Relationship Id="rId124" Type="http://schemas.openxmlformats.org/officeDocument/2006/relationships/ctrlProp" Target="../ctrlProps/ctrlProp271.xml"/><Relationship Id="rId129" Type="http://schemas.openxmlformats.org/officeDocument/2006/relationships/ctrlProp" Target="../ctrlProps/ctrlProp276.xml"/><Relationship Id="rId137" Type="http://schemas.openxmlformats.org/officeDocument/2006/relationships/ctrlProp" Target="../ctrlProps/ctrlProp284.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62" Type="http://schemas.openxmlformats.org/officeDocument/2006/relationships/ctrlProp" Target="../ctrlProps/ctrlProp209.xml"/><Relationship Id="rId70" Type="http://schemas.openxmlformats.org/officeDocument/2006/relationships/ctrlProp" Target="../ctrlProps/ctrlProp217.xml"/><Relationship Id="rId75" Type="http://schemas.openxmlformats.org/officeDocument/2006/relationships/ctrlProp" Target="../ctrlProps/ctrlProp222.xml"/><Relationship Id="rId83" Type="http://schemas.openxmlformats.org/officeDocument/2006/relationships/ctrlProp" Target="../ctrlProps/ctrlProp230.xml"/><Relationship Id="rId88" Type="http://schemas.openxmlformats.org/officeDocument/2006/relationships/ctrlProp" Target="../ctrlProps/ctrlProp235.xml"/><Relationship Id="rId91" Type="http://schemas.openxmlformats.org/officeDocument/2006/relationships/ctrlProp" Target="../ctrlProps/ctrlProp238.xml"/><Relationship Id="rId96" Type="http://schemas.openxmlformats.org/officeDocument/2006/relationships/ctrlProp" Target="../ctrlProps/ctrlProp243.xml"/><Relationship Id="rId111" Type="http://schemas.openxmlformats.org/officeDocument/2006/relationships/ctrlProp" Target="../ctrlProps/ctrlProp258.xml"/><Relationship Id="rId132" Type="http://schemas.openxmlformats.org/officeDocument/2006/relationships/ctrlProp" Target="../ctrlProps/ctrlProp279.xml"/><Relationship Id="rId140" Type="http://schemas.openxmlformats.org/officeDocument/2006/relationships/ctrlProp" Target="../ctrlProps/ctrlProp287.xml"/><Relationship Id="rId145" Type="http://schemas.openxmlformats.org/officeDocument/2006/relationships/ctrlProp" Target="../ctrlProps/ctrlProp292.xml"/><Relationship Id="rId1" Type="http://schemas.openxmlformats.org/officeDocument/2006/relationships/printerSettings" Target="../printerSettings/printerSettings6.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 Id="rId57" Type="http://schemas.openxmlformats.org/officeDocument/2006/relationships/ctrlProp" Target="../ctrlProps/ctrlProp204.xml"/><Relationship Id="rId106" Type="http://schemas.openxmlformats.org/officeDocument/2006/relationships/ctrlProp" Target="../ctrlProps/ctrlProp253.xml"/><Relationship Id="rId114" Type="http://schemas.openxmlformats.org/officeDocument/2006/relationships/ctrlProp" Target="../ctrlProps/ctrlProp261.xml"/><Relationship Id="rId119" Type="http://schemas.openxmlformats.org/officeDocument/2006/relationships/ctrlProp" Target="../ctrlProps/ctrlProp266.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60" Type="http://schemas.openxmlformats.org/officeDocument/2006/relationships/ctrlProp" Target="../ctrlProps/ctrlProp207.xml"/><Relationship Id="rId65" Type="http://schemas.openxmlformats.org/officeDocument/2006/relationships/ctrlProp" Target="../ctrlProps/ctrlProp212.xml"/><Relationship Id="rId73" Type="http://schemas.openxmlformats.org/officeDocument/2006/relationships/ctrlProp" Target="../ctrlProps/ctrlProp220.xml"/><Relationship Id="rId78" Type="http://schemas.openxmlformats.org/officeDocument/2006/relationships/ctrlProp" Target="../ctrlProps/ctrlProp225.xml"/><Relationship Id="rId81" Type="http://schemas.openxmlformats.org/officeDocument/2006/relationships/ctrlProp" Target="../ctrlProps/ctrlProp228.xml"/><Relationship Id="rId86" Type="http://schemas.openxmlformats.org/officeDocument/2006/relationships/ctrlProp" Target="../ctrlProps/ctrlProp233.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130" Type="http://schemas.openxmlformats.org/officeDocument/2006/relationships/ctrlProp" Target="../ctrlProps/ctrlProp277.xml"/><Relationship Id="rId135" Type="http://schemas.openxmlformats.org/officeDocument/2006/relationships/ctrlProp" Target="../ctrlProps/ctrlProp282.xml"/><Relationship Id="rId143" Type="http://schemas.openxmlformats.org/officeDocument/2006/relationships/ctrlProp" Target="../ctrlProps/ctrlProp290.xml"/><Relationship Id="rId4" Type="http://schemas.openxmlformats.org/officeDocument/2006/relationships/ctrlProp" Target="../ctrlProps/ctrlProp151.xml"/><Relationship Id="rId9" Type="http://schemas.openxmlformats.org/officeDocument/2006/relationships/ctrlProp" Target="../ctrlProps/ctrlProp156.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141" Type="http://schemas.openxmlformats.org/officeDocument/2006/relationships/ctrlProp" Target="../ctrlProps/ctrlProp288.xml"/><Relationship Id="rId146" Type="http://schemas.openxmlformats.org/officeDocument/2006/relationships/ctrlProp" Target="../ctrlProps/ctrlProp293.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drawing" Target="../drawings/drawing4.x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131" Type="http://schemas.openxmlformats.org/officeDocument/2006/relationships/ctrlProp" Target="../ctrlProps/ctrlProp278.xml"/><Relationship Id="rId136" Type="http://schemas.openxmlformats.org/officeDocument/2006/relationships/ctrlProp" Target="../ctrlProps/ctrlProp283.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147" Type="http://schemas.openxmlformats.org/officeDocument/2006/relationships/comments" Target="../comments4.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142" Type="http://schemas.openxmlformats.org/officeDocument/2006/relationships/ctrlProp" Target="../ctrlProps/ctrlProp28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16.xml"/><Relationship Id="rId117" Type="http://schemas.openxmlformats.org/officeDocument/2006/relationships/ctrlProp" Target="../ctrlProps/ctrlProp407.xml"/><Relationship Id="rId21" Type="http://schemas.openxmlformats.org/officeDocument/2006/relationships/ctrlProp" Target="../ctrlProps/ctrlProp311.xml"/><Relationship Id="rId42" Type="http://schemas.openxmlformats.org/officeDocument/2006/relationships/ctrlProp" Target="../ctrlProps/ctrlProp332.xml"/><Relationship Id="rId47" Type="http://schemas.openxmlformats.org/officeDocument/2006/relationships/ctrlProp" Target="../ctrlProps/ctrlProp337.xml"/><Relationship Id="rId63" Type="http://schemas.openxmlformats.org/officeDocument/2006/relationships/ctrlProp" Target="../ctrlProps/ctrlProp353.xml"/><Relationship Id="rId68" Type="http://schemas.openxmlformats.org/officeDocument/2006/relationships/ctrlProp" Target="../ctrlProps/ctrlProp358.xml"/><Relationship Id="rId84" Type="http://schemas.openxmlformats.org/officeDocument/2006/relationships/ctrlProp" Target="../ctrlProps/ctrlProp374.xml"/><Relationship Id="rId89" Type="http://schemas.openxmlformats.org/officeDocument/2006/relationships/ctrlProp" Target="../ctrlProps/ctrlProp379.xml"/><Relationship Id="rId112" Type="http://schemas.openxmlformats.org/officeDocument/2006/relationships/ctrlProp" Target="../ctrlProps/ctrlProp402.xml"/><Relationship Id="rId133" Type="http://schemas.openxmlformats.org/officeDocument/2006/relationships/ctrlProp" Target="../ctrlProps/ctrlProp423.xml"/><Relationship Id="rId138" Type="http://schemas.openxmlformats.org/officeDocument/2006/relationships/ctrlProp" Target="../ctrlProps/ctrlProp428.xml"/><Relationship Id="rId16" Type="http://schemas.openxmlformats.org/officeDocument/2006/relationships/ctrlProp" Target="../ctrlProps/ctrlProp306.xml"/><Relationship Id="rId107" Type="http://schemas.openxmlformats.org/officeDocument/2006/relationships/ctrlProp" Target="../ctrlProps/ctrlProp397.xml"/><Relationship Id="rId11" Type="http://schemas.openxmlformats.org/officeDocument/2006/relationships/ctrlProp" Target="../ctrlProps/ctrlProp301.xml"/><Relationship Id="rId32" Type="http://schemas.openxmlformats.org/officeDocument/2006/relationships/ctrlProp" Target="../ctrlProps/ctrlProp322.xml"/><Relationship Id="rId37" Type="http://schemas.openxmlformats.org/officeDocument/2006/relationships/ctrlProp" Target="../ctrlProps/ctrlProp327.xml"/><Relationship Id="rId53" Type="http://schemas.openxmlformats.org/officeDocument/2006/relationships/ctrlProp" Target="../ctrlProps/ctrlProp343.xml"/><Relationship Id="rId58" Type="http://schemas.openxmlformats.org/officeDocument/2006/relationships/ctrlProp" Target="../ctrlProps/ctrlProp348.xml"/><Relationship Id="rId74" Type="http://schemas.openxmlformats.org/officeDocument/2006/relationships/ctrlProp" Target="../ctrlProps/ctrlProp364.xml"/><Relationship Id="rId79" Type="http://schemas.openxmlformats.org/officeDocument/2006/relationships/ctrlProp" Target="../ctrlProps/ctrlProp369.xml"/><Relationship Id="rId102" Type="http://schemas.openxmlformats.org/officeDocument/2006/relationships/ctrlProp" Target="../ctrlProps/ctrlProp392.xml"/><Relationship Id="rId123" Type="http://schemas.openxmlformats.org/officeDocument/2006/relationships/ctrlProp" Target="../ctrlProps/ctrlProp413.xml"/><Relationship Id="rId128" Type="http://schemas.openxmlformats.org/officeDocument/2006/relationships/ctrlProp" Target="../ctrlProps/ctrlProp418.xml"/><Relationship Id="rId144" Type="http://schemas.openxmlformats.org/officeDocument/2006/relationships/ctrlProp" Target="../ctrlProps/ctrlProp434.xml"/><Relationship Id="rId5" Type="http://schemas.openxmlformats.org/officeDocument/2006/relationships/ctrlProp" Target="../ctrlProps/ctrlProp295.xml"/><Relationship Id="rId90" Type="http://schemas.openxmlformats.org/officeDocument/2006/relationships/ctrlProp" Target="../ctrlProps/ctrlProp380.xml"/><Relationship Id="rId95" Type="http://schemas.openxmlformats.org/officeDocument/2006/relationships/ctrlProp" Target="../ctrlProps/ctrlProp385.xml"/><Relationship Id="rId22" Type="http://schemas.openxmlformats.org/officeDocument/2006/relationships/ctrlProp" Target="../ctrlProps/ctrlProp312.xml"/><Relationship Id="rId27" Type="http://schemas.openxmlformats.org/officeDocument/2006/relationships/ctrlProp" Target="../ctrlProps/ctrlProp317.xml"/><Relationship Id="rId43" Type="http://schemas.openxmlformats.org/officeDocument/2006/relationships/ctrlProp" Target="../ctrlProps/ctrlProp333.xml"/><Relationship Id="rId48" Type="http://schemas.openxmlformats.org/officeDocument/2006/relationships/ctrlProp" Target="../ctrlProps/ctrlProp338.xml"/><Relationship Id="rId64" Type="http://schemas.openxmlformats.org/officeDocument/2006/relationships/ctrlProp" Target="../ctrlProps/ctrlProp354.xml"/><Relationship Id="rId69" Type="http://schemas.openxmlformats.org/officeDocument/2006/relationships/ctrlProp" Target="../ctrlProps/ctrlProp359.xml"/><Relationship Id="rId113" Type="http://schemas.openxmlformats.org/officeDocument/2006/relationships/ctrlProp" Target="../ctrlProps/ctrlProp403.xml"/><Relationship Id="rId118" Type="http://schemas.openxmlformats.org/officeDocument/2006/relationships/ctrlProp" Target="../ctrlProps/ctrlProp408.xml"/><Relationship Id="rId134" Type="http://schemas.openxmlformats.org/officeDocument/2006/relationships/ctrlProp" Target="../ctrlProps/ctrlProp424.xml"/><Relationship Id="rId139" Type="http://schemas.openxmlformats.org/officeDocument/2006/relationships/ctrlProp" Target="../ctrlProps/ctrlProp429.xml"/><Relationship Id="rId80" Type="http://schemas.openxmlformats.org/officeDocument/2006/relationships/ctrlProp" Target="../ctrlProps/ctrlProp370.xml"/><Relationship Id="rId85" Type="http://schemas.openxmlformats.org/officeDocument/2006/relationships/ctrlProp" Target="../ctrlProps/ctrlProp375.xml"/><Relationship Id="rId3" Type="http://schemas.openxmlformats.org/officeDocument/2006/relationships/vmlDrawing" Target="../drawings/vmlDrawing5.v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38" Type="http://schemas.openxmlformats.org/officeDocument/2006/relationships/ctrlProp" Target="../ctrlProps/ctrlProp328.xml"/><Relationship Id="rId46" Type="http://schemas.openxmlformats.org/officeDocument/2006/relationships/ctrlProp" Target="../ctrlProps/ctrlProp336.xml"/><Relationship Id="rId59" Type="http://schemas.openxmlformats.org/officeDocument/2006/relationships/ctrlProp" Target="../ctrlProps/ctrlProp349.xml"/><Relationship Id="rId67" Type="http://schemas.openxmlformats.org/officeDocument/2006/relationships/ctrlProp" Target="../ctrlProps/ctrlProp357.xml"/><Relationship Id="rId103" Type="http://schemas.openxmlformats.org/officeDocument/2006/relationships/ctrlProp" Target="../ctrlProps/ctrlProp393.xml"/><Relationship Id="rId108" Type="http://schemas.openxmlformats.org/officeDocument/2006/relationships/ctrlProp" Target="../ctrlProps/ctrlProp398.xml"/><Relationship Id="rId116" Type="http://schemas.openxmlformats.org/officeDocument/2006/relationships/ctrlProp" Target="../ctrlProps/ctrlProp406.xml"/><Relationship Id="rId124" Type="http://schemas.openxmlformats.org/officeDocument/2006/relationships/ctrlProp" Target="../ctrlProps/ctrlProp414.xml"/><Relationship Id="rId129" Type="http://schemas.openxmlformats.org/officeDocument/2006/relationships/ctrlProp" Target="../ctrlProps/ctrlProp419.xml"/><Relationship Id="rId137" Type="http://schemas.openxmlformats.org/officeDocument/2006/relationships/ctrlProp" Target="../ctrlProps/ctrlProp427.xml"/><Relationship Id="rId20" Type="http://schemas.openxmlformats.org/officeDocument/2006/relationships/ctrlProp" Target="../ctrlProps/ctrlProp310.xml"/><Relationship Id="rId41" Type="http://schemas.openxmlformats.org/officeDocument/2006/relationships/ctrlProp" Target="../ctrlProps/ctrlProp331.xml"/><Relationship Id="rId54" Type="http://schemas.openxmlformats.org/officeDocument/2006/relationships/ctrlProp" Target="../ctrlProps/ctrlProp344.xml"/><Relationship Id="rId62" Type="http://schemas.openxmlformats.org/officeDocument/2006/relationships/ctrlProp" Target="../ctrlProps/ctrlProp352.xml"/><Relationship Id="rId70" Type="http://schemas.openxmlformats.org/officeDocument/2006/relationships/ctrlProp" Target="../ctrlProps/ctrlProp360.xml"/><Relationship Id="rId75" Type="http://schemas.openxmlformats.org/officeDocument/2006/relationships/ctrlProp" Target="../ctrlProps/ctrlProp365.xml"/><Relationship Id="rId83" Type="http://schemas.openxmlformats.org/officeDocument/2006/relationships/ctrlProp" Target="../ctrlProps/ctrlProp373.xml"/><Relationship Id="rId88" Type="http://schemas.openxmlformats.org/officeDocument/2006/relationships/ctrlProp" Target="../ctrlProps/ctrlProp378.xml"/><Relationship Id="rId91" Type="http://schemas.openxmlformats.org/officeDocument/2006/relationships/ctrlProp" Target="../ctrlProps/ctrlProp381.xml"/><Relationship Id="rId96" Type="http://schemas.openxmlformats.org/officeDocument/2006/relationships/ctrlProp" Target="../ctrlProps/ctrlProp386.xml"/><Relationship Id="rId111" Type="http://schemas.openxmlformats.org/officeDocument/2006/relationships/ctrlProp" Target="../ctrlProps/ctrlProp401.xml"/><Relationship Id="rId132" Type="http://schemas.openxmlformats.org/officeDocument/2006/relationships/ctrlProp" Target="../ctrlProps/ctrlProp422.xml"/><Relationship Id="rId140" Type="http://schemas.openxmlformats.org/officeDocument/2006/relationships/ctrlProp" Target="../ctrlProps/ctrlProp430.xml"/><Relationship Id="rId145" Type="http://schemas.openxmlformats.org/officeDocument/2006/relationships/ctrlProp" Target="../ctrlProps/ctrlProp435.xml"/><Relationship Id="rId1" Type="http://schemas.openxmlformats.org/officeDocument/2006/relationships/printerSettings" Target="../printerSettings/printerSettings7.bin"/><Relationship Id="rId6" Type="http://schemas.openxmlformats.org/officeDocument/2006/relationships/ctrlProp" Target="../ctrlProps/ctrlProp296.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49" Type="http://schemas.openxmlformats.org/officeDocument/2006/relationships/ctrlProp" Target="../ctrlProps/ctrlProp339.xml"/><Relationship Id="rId57" Type="http://schemas.openxmlformats.org/officeDocument/2006/relationships/ctrlProp" Target="../ctrlProps/ctrlProp347.xml"/><Relationship Id="rId106" Type="http://schemas.openxmlformats.org/officeDocument/2006/relationships/ctrlProp" Target="../ctrlProps/ctrlProp396.xml"/><Relationship Id="rId114" Type="http://schemas.openxmlformats.org/officeDocument/2006/relationships/ctrlProp" Target="../ctrlProps/ctrlProp404.xml"/><Relationship Id="rId119" Type="http://schemas.openxmlformats.org/officeDocument/2006/relationships/ctrlProp" Target="../ctrlProps/ctrlProp409.xml"/><Relationship Id="rId127" Type="http://schemas.openxmlformats.org/officeDocument/2006/relationships/ctrlProp" Target="../ctrlProps/ctrlProp417.xml"/><Relationship Id="rId10" Type="http://schemas.openxmlformats.org/officeDocument/2006/relationships/ctrlProp" Target="../ctrlProps/ctrlProp300.xml"/><Relationship Id="rId31" Type="http://schemas.openxmlformats.org/officeDocument/2006/relationships/ctrlProp" Target="../ctrlProps/ctrlProp321.xml"/><Relationship Id="rId44" Type="http://schemas.openxmlformats.org/officeDocument/2006/relationships/ctrlProp" Target="../ctrlProps/ctrlProp334.xml"/><Relationship Id="rId52" Type="http://schemas.openxmlformats.org/officeDocument/2006/relationships/ctrlProp" Target="../ctrlProps/ctrlProp342.xml"/><Relationship Id="rId60" Type="http://schemas.openxmlformats.org/officeDocument/2006/relationships/ctrlProp" Target="../ctrlProps/ctrlProp350.xml"/><Relationship Id="rId65" Type="http://schemas.openxmlformats.org/officeDocument/2006/relationships/ctrlProp" Target="../ctrlProps/ctrlProp355.xml"/><Relationship Id="rId73" Type="http://schemas.openxmlformats.org/officeDocument/2006/relationships/ctrlProp" Target="../ctrlProps/ctrlProp363.xml"/><Relationship Id="rId78" Type="http://schemas.openxmlformats.org/officeDocument/2006/relationships/ctrlProp" Target="../ctrlProps/ctrlProp368.xml"/><Relationship Id="rId81" Type="http://schemas.openxmlformats.org/officeDocument/2006/relationships/ctrlProp" Target="../ctrlProps/ctrlProp371.xml"/><Relationship Id="rId86" Type="http://schemas.openxmlformats.org/officeDocument/2006/relationships/ctrlProp" Target="../ctrlProps/ctrlProp376.xml"/><Relationship Id="rId94" Type="http://schemas.openxmlformats.org/officeDocument/2006/relationships/ctrlProp" Target="../ctrlProps/ctrlProp384.xml"/><Relationship Id="rId99" Type="http://schemas.openxmlformats.org/officeDocument/2006/relationships/ctrlProp" Target="../ctrlProps/ctrlProp389.xml"/><Relationship Id="rId101" Type="http://schemas.openxmlformats.org/officeDocument/2006/relationships/ctrlProp" Target="../ctrlProps/ctrlProp391.xml"/><Relationship Id="rId122" Type="http://schemas.openxmlformats.org/officeDocument/2006/relationships/ctrlProp" Target="../ctrlProps/ctrlProp412.xml"/><Relationship Id="rId130" Type="http://schemas.openxmlformats.org/officeDocument/2006/relationships/ctrlProp" Target="../ctrlProps/ctrlProp420.xml"/><Relationship Id="rId135" Type="http://schemas.openxmlformats.org/officeDocument/2006/relationships/ctrlProp" Target="../ctrlProps/ctrlProp425.xml"/><Relationship Id="rId143" Type="http://schemas.openxmlformats.org/officeDocument/2006/relationships/ctrlProp" Target="../ctrlProps/ctrlProp433.xml"/><Relationship Id="rId148" Type="http://schemas.openxmlformats.org/officeDocument/2006/relationships/comments" Target="../comments5.xml"/><Relationship Id="rId4" Type="http://schemas.openxmlformats.org/officeDocument/2006/relationships/ctrlProp" Target="../ctrlProps/ctrlProp294.xml"/><Relationship Id="rId9" Type="http://schemas.openxmlformats.org/officeDocument/2006/relationships/ctrlProp" Target="../ctrlProps/ctrlProp299.xml"/><Relationship Id="rId13" Type="http://schemas.openxmlformats.org/officeDocument/2006/relationships/ctrlProp" Target="../ctrlProps/ctrlProp303.xml"/><Relationship Id="rId18" Type="http://schemas.openxmlformats.org/officeDocument/2006/relationships/ctrlProp" Target="../ctrlProps/ctrlProp308.xml"/><Relationship Id="rId39" Type="http://schemas.openxmlformats.org/officeDocument/2006/relationships/ctrlProp" Target="../ctrlProps/ctrlProp329.xml"/><Relationship Id="rId109" Type="http://schemas.openxmlformats.org/officeDocument/2006/relationships/ctrlProp" Target="../ctrlProps/ctrlProp399.xml"/><Relationship Id="rId34" Type="http://schemas.openxmlformats.org/officeDocument/2006/relationships/ctrlProp" Target="../ctrlProps/ctrlProp324.xml"/><Relationship Id="rId50" Type="http://schemas.openxmlformats.org/officeDocument/2006/relationships/ctrlProp" Target="../ctrlProps/ctrlProp340.xml"/><Relationship Id="rId55" Type="http://schemas.openxmlformats.org/officeDocument/2006/relationships/ctrlProp" Target="../ctrlProps/ctrlProp345.xml"/><Relationship Id="rId76" Type="http://schemas.openxmlformats.org/officeDocument/2006/relationships/ctrlProp" Target="../ctrlProps/ctrlProp366.xml"/><Relationship Id="rId97" Type="http://schemas.openxmlformats.org/officeDocument/2006/relationships/ctrlProp" Target="../ctrlProps/ctrlProp387.xml"/><Relationship Id="rId104" Type="http://schemas.openxmlformats.org/officeDocument/2006/relationships/ctrlProp" Target="../ctrlProps/ctrlProp394.xml"/><Relationship Id="rId120" Type="http://schemas.openxmlformats.org/officeDocument/2006/relationships/ctrlProp" Target="../ctrlProps/ctrlProp410.xml"/><Relationship Id="rId125" Type="http://schemas.openxmlformats.org/officeDocument/2006/relationships/ctrlProp" Target="../ctrlProps/ctrlProp415.xml"/><Relationship Id="rId141" Type="http://schemas.openxmlformats.org/officeDocument/2006/relationships/ctrlProp" Target="../ctrlProps/ctrlProp431.xml"/><Relationship Id="rId146" Type="http://schemas.openxmlformats.org/officeDocument/2006/relationships/ctrlProp" Target="../ctrlProps/ctrlProp436.xml"/><Relationship Id="rId7" Type="http://schemas.openxmlformats.org/officeDocument/2006/relationships/ctrlProp" Target="../ctrlProps/ctrlProp297.xml"/><Relationship Id="rId71" Type="http://schemas.openxmlformats.org/officeDocument/2006/relationships/ctrlProp" Target="../ctrlProps/ctrlProp361.xml"/><Relationship Id="rId92" Type="http://schemas.openxmlformats.org/officeDocument/2006/relationships/ctrlProp" Target="../ctrlProps/ctrlProp382.xml"/><Relationship Id="rId2" Type="http://schemas.openxmlformats.org/officeDocument/2006/relationships/drawing" Target="../drawings/drawing5.xml"/><Relationship Id="rId29" Type="http://schemas.openxmlformats.org/officeDocument/2006/relationships/ctrlProp" Target="../ctrlProps/ctrlProp319.xml"/><Relationship Id="rId24" Type="http://schemas.openxmlformats.org/officeDocument/2006/relationships/ctrlProp" Target="../ctrlProps/ctrlProp314.xml"/><Relationship Id="rId40" Type="http://schemas.openxmlformats.org/officeDocument/2006/relationships/ctrlProp" Target="../ctrlProps/ctrlProp330.xml"/><Relationship Id="rId45" Type="http://schemas.openxmlformats.org/officeDocument/2006/relationships/ctrlProp" Target="../ctrlProps/ctrlProp335.xml"/><Relationship Id="rId66" Type="http://schemas.openxmlformats.org/officeDocument/2006/relationships/ctrlProp" Target="../ctrlProps/ctrlProp356.xml"/><Relationship Id="rId87" Type="http://schemas.openxmlformats.org/officeDocument/2006/relationships/ctrlProp" Target="../ctrlProps/ctrlProp377.xml"/><Relationship Id="rId110" Type="http://schemas.openxmlformats.org/officeDocument/2006/relationships/ctrlProp" Target="../ctrlProps/ctrlProp400.xml"/><Relationship Id="rId115" Type="http://schemas.openxmlformats.org/officeDocument/2006/relationships/ctrlProp" Target="../ctrlProps/ctrlProp405.xml"/><Relationship Id="rId131" Type="http://schemas.openxmlformats.org/officeDocument/2006/relationships/ctrlProp" Target="../ctrlProps/ctrlProp421.xml"/><Relationship Id="rId136" Type="http://schemas.openxmlformats.org/officeDocument/2006/relationships/ctrlProp" Target="../ctrlProps/ctrlProp426.xml"/><Relationship Id="rId61" Type="http://schemas.openxmlformats.org/officeDocument/2006/relationships/ctrlProp" Target="../ctrlProps/ctrlProp351.xml"/><Relationship Id="rId82" Type="http://schemas.openxmlformats.org/officeDocument/2006/relationships/ctrlProp" Target="../ctrlProps/ctrlProp372.xml"/><Relationship Id="rId19" Type="http://schemas.openxmlformats.org/officeDocument/2006/relationships/ctrlProp" Target="../ctrlProps/ctrlProp309.xml"/><Relationship Id="rId14" Type="http://schemas.openxmlformats.org/officeDocument/2006/relationships/ctrlProp" Target="../ctrlProps/ctrlProp304.xml"/><Relationship Id="rId30" Type="http://schemas.openxmlformats.org/officeDocument/2006/relationships/ctrlProp" Target="../ctrlProps/ctrlProp320.xml"/><Relationship Id="rId35" Type="http://schemas.openxmlformats.org/officeDocument/2006/relationships/ctrlProp" Target="../ctrlProps/ctrlProp325.xml"/><Relationship Id="rId56" Type="http://schemas.openxmlformats.org/officeDocument/2006/relationships/ctrlProp" Target="../ctrlProps/ctrlProp346.xml"/><Relationship Id="rId77" Type="http://schemas.openxmlformats.org/officeDocument/2006/relationships/ctrlProp" Target="../ctrlProps/ctrlProp367.xml"/><Relationship Id="rId100" Type="http://schemas.openxmlformats.org/officeDocument/2006/relationships/ctrlProp" Target="../ctrlProps/ctrlProp390.xml"/><Relationship Id="rId105" Type="http://schemas.openxmlformats.org/officeDocument/2006/relationships/ctrlProp" Target="../ctrlProps/ctrlProp395.xml"/><Relationship Id="rId126" Type="http://schemas.openxmlformats.org/officeDocument/2006/relationships/ctrlProp" Target="../ctrlProps/ctrlProp416.xml"/><Relationship Id="rId147" Type="http://schemas.openxmlformats.org/officeDocument/2006/relationships/ctrlProp" Target="../ctrlProps/ctrlProp437.xml"/><Relationship Id="rId8" Type="http://schemas.openxmlformats.org/officeDocument/2006/relationships/ctrlProp" Target="../ctrlProps/ctrlProp298.xml"/><Relationship Id="rId51" Type="http://schemas.openxmlformats.org/officeDocument/2006/relationships/ctrlProp" Target="../ctrlProps/ctrlProp341.xml"/><Relationship Id="rId72" Type="http://schemas.openxmlformats.org/officeDocument/2006/relationships/ctrlProp" Target="../ctrlProps/ctrlProp362.xml"/><Relationship Id="rId93" Type="http://schemas.openxmlformats.org/officeDocument/2006/relationships/ctrlProp" Target="../ctrlProps/ctrlProp383.xml"/><Relationship Id="rId98" Type="http://schemas.openxmlformats.org/officeDocument/2006/relationships/ctrlProp" Target="../ctrlProps/ctrlProp388.xml"/><Relationship Id="rId121" Type="http://schemas.openxmlformats.org/officeDocument/2006/relationships/ctrlProp" Target="../ctrlProps/ctrlProp411.xml"/><Relationship Id="rId142" Type="http://schemas.openxmlformats.org/officeDocument/2006/relationships/ctrlProp" Target="../ctrlProps/ctrlProp43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0.xml"/><Relationship Id="rId117" Type="http://schemas.openxmlformats.org/officeDocument/2006/relationships/ctrlProp" Target="../ctrlProps/ctrlProp551.xml"/><Relationship Id="rId21" Type="http://schemas.openxmlformats.org/officeDocument/2006/relationships/ctrlProp" Target="../ctrlProps/ctrlProp455.xml"/><Relationship Id="rId42" Type="http://schemas.openxmlformats.org/officeDocument/2006/relationships/ctrlProp" Target="../ctrlProps/ctrlProp476.xml"/><Relationship Id="rId47" Type="http://schemas.openxmlformats.org/officeDocument/2006/relationships/ctrlProp" Target="../ctrlProps/ctrlProp481.xml"/><Relationship Id="rId63" Type="http://schemas.openxmlformats.org/officeDocument/2006/relationships/ctrlProp" Target="../ctrlProps/ctrlProp497.xml"/><Relationship Id="rId68" Type="http://schemas.openxmlformats.org/officeDocument/2006/relationships/ctrlProp" Target="../ctrlProps/ctrlProp502.xml"/><Relationship Id="rId84" Type="http://schemas.openxmlformats.org/officeDocument/2006/relationships/ctrlProp" Target="../ctrlProps/ctrlProp518.xml"/><Relationship Id="rId89" Type="http://schemas.openxmlformats.org/officeDocument/2006/relationships/ctrlProp" Target="../ctrlProps/ctrlProp523.xml"/><Relationship Id="rId112" Type="http://schemas.openxmlformats.org/officeDocument/2006/relationships/ctrlProp" Target="../ctrlProps/ctrlProp546.xml"/><Relationship Id="rId133" Type="http://schemas.openxmlformats.org/officeDocument/2006/relationships/ctrlProp" Target="../ctrlProps/ctrlProp567.xml"/><Relationship Id="rId138" Type="http://schemas.openxmlformats.org/officeDocument/2006/relationships/ctrlProp" Target="../ctrlProps/ctrlProp572.xml"/><Relationship Id="rId16" Type="http://schemas.openxmlformats.org/officeDocument/2006/relationships/ctrlProp" Target="../ctrlProps/ctrlProp450.xml"/><Relationship Id="rId107" Type="http://schemas.openxmlformats.org/officeDocument/2006/relationships/ctrlProp" Target="../ctrlProps/ctrlProp541.xml"/><Relationship Id="rId11" Type="http://schemas.openxmlformats.org/officeDocument/2006/relationships/ctrlProp" Target="../ctrlProps/ctrlProp445.xml"/><Relationship Id="rId32" Type="http://schemas.openxmlformats.org/officeDocument/2006/relationships/ctrlProp" Target="../ctrlProps/ctrlProp466.xml"/><Relationship Id="rId37" Type="http://schemas.openxmlformats.org/officeDocument/2006/relationships/ctrlProp" Target="../ctrlProps/ctrlProp471.xml"/><Relationship Id="rId53" Type="http://schemas.openxmlformats.org/officeDocument/2006/relationships/ctrlProp" Target="../ctrlProps/ctrlProp487.xml"/><Relationship Id="rId58" Type="http://schemas.openxmlformats.org/officeDocument/2006/relationships/ctrlProp" Target="../ctrlProps/ctrlProp492.xml"/><Relationship Id="rId74" Type="http://schemas.openxmlformats.org/officeDocument/2006/relationships/ctrlProp" Target="../ctrlProps/ctrlProp508.xml"/><Relationship Id="rId79" Type="http://schemas.openxmlformats.org/officeDocument/2006/relationships/ctrlProp" Target="../ctrlProps/ctrlProp513.xml"/><Relationship Id="rId102" Type="http://schemas.openxmlformats.org/officeDocument/2006/relationships/ctrlProp" Target="../ctrlProps/ctrlProp536.xml"/><Relationship Id="rId123" Type="http://schemas.openxmlformats.org/officeDocument/2006/relationships/ctrlProp" Target="../ctrlProps/ctrlProp557.xml"/><Relationship Id="rId128" Type="http://schemas.openxmlformats.org/officeDocument/2006/relationships/ctrlProp" Target="../ctrlProps/ctrlProp562.xml"/><Relationship Id="rId144" Type="http://schemas.openxmlformats.org/officeDocument/2006/relationships/ctrlProp" Target="../ctrlProps/ctrlProp578.xml"/><Relationship Id="rId149" Type="http://schemas.openxmlformats.org/officeDocument/2006/relationships/comments" Target="../comments6.xml"/><Relationship Id="rId5" Type="http://schemas.openxmlformats.org/officeDocument/2006/relationships/ctrlProp" Target="../ctrlProps/ctrlProp439.xml"/><Relationship Id="rId90" Type="http://schemas.openxmlformats.org/officeDocument/2006/relationships/ctrlProp" Target="../ctrlProps/ctrlProp524.xml"/><Relationship Id="rId95" Type="http://schemas.openxmlformats.org/officeDocument/2006/relationships/ctrlProp" Target="../ctrlProps/ctrlProp529.xml"/><Relationship Id="rId22" Type="http://schemas.openxmlformats.org/officeDocument/2006/relationships/ctrlProp" Target="../ctrlProps/ctrlProp456.xml"/><Relationship Id="rId27" Type="http://schemas.openxmlformats.org/officeDocument/2006/relationships/ctrlProp" Target="../ctrlProps/ctrlProp461.xml"/><Relationship Id="rId43" Type="http://schemas.openxmlformats.org/officeDocument/2006/relationships/ctrlProp" Target="../ctrlProps/ctrlProp477.xml"/><Relationship Id="rId48" Type="http://schemas.openxmlformats.org/officeDocument/2006/relationships/ctrlProp" Target="../ctrlProps/ctrlProp482.xml"/><Relationship Id="rId64" Type="http://schemas.openxmlformats.org/officeDocument/2006/relationships/ctrlProp" Target="../ctrlProps/ctrlProp498.xml"/><Relationship Id="rId69" Type="http://schemas.openxmlformats.org/officeDocument/2006/relationships/ctrlProp" Target="../ctrlProps/ctrlProp503.xml"/><Relationship Id="rId113" Type="http://schemas.openxmlformats.org/officeDocument/2006/relationships/ctrlProp" Target="../ctrlProps/ctrlProp547.xml"/><Relationship Id="rId118" Type="http://schemas.openxmlformats.org/officeDocument/2006/relationships/ctrlProp" Target="../ctrlProps/ctrlProp552.xml"/><Relationship Id="rId134" Type="http://schemas.openxmlformats.org/officeDocument/2006/relationships/ctrlProp" Target="../ctrlProps/ctrlProp568.xml"/><Relationship Id="rId139" Type="http://schemas.openxmlformats.org/officeDocument/2006/relationships/ctrlProp" Target="../ctrlProps/ctrlProp573.xml"/><Relationship Id="rId80" Type="http://schemas.openxmlformats.org/officeDocument/2006/relationships/ctrlProp" Target="../ctrlProps/ctrlProp514.xml"/><Relationship Id="rId85" Type="http://schemas.openxmlformats.org/officeDocument/2006/relationships/ctrlProp" Target="../ctrlProps/ctrlProp519.xml"/><Relationship Id="rId3" Type="http://schemas.openxmlformats.org/officeDocument/2006/relationships/vmlDrawing" Target="../drawings/vmlDrawing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67" Type="http://schemas.openxmlformats.org/officeDocument/2006/relationships/ctrlProp" Target="../ctrlProps/ctrlProp501.xml"/><Relationship Id="rId103" Type="http://schemas.openxmlformats.org/officeDocument/2006/relationships/ctrlProp" Target="../ctrlProps/ctrlProp537.xml"/><Relationship Id="rId108" Type="http://schemas.openxmlformats.org/officeDocument/2006/relationships/ctrlProp" Target="../ctrlProps/ctrlProp542.xml"/><Relationship Id="rId116" Type="http://schemas.openxmlformats.org/officeDocument/2006/relationships/ctrlProp" Target="../ctrlProps/ctrlProp550.xml"/><Relationship Id="rId124" Type="http://schemas.openxmlformats.org/officeDocument/2006/relationships/ctrlProp" Target="../ctrlProps/ctrlProp558.xml"/><Relationship Id="rId129" Type="http://schemas.openxmlformats.org/officeDocument/2006/relationships/ctrlProp" Target="../ctrlProps/ctrlProp563.xml"/><Relationship Id="rId137" Type="http://schemas.openxmlformats.org/officeDocument/2006/relationships/ctrlProp" Target="../ctrlProps/ctrlProp571.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62" Type="http://schemas.openxmlformats.org/officeDocument/2006/relationships/ctrlProp" Target="../ctrlProps/ctrlProp496.xml"/><Relationship Id="rId70" Type="http://schemas.openxmlformats.org/officeDocument/2006/relationships/ctrlProp" Target="../ctrlProps/ctrlProp504.xml"/><Relationship Id="rId75" Type="http://schemas.openxmlformats.org/officeDocument/2006/relationships/ctrlProp" Target="../ctrlProps/ctrlProp509.xml"/><Relationship Id="rId83" Type="http://schemas.openxmlformats.org/officeDocument/2006/relationships/ctrlProp" Target="../ctrlProps/ctrlProp517.xml"/><Relationship Id="rId88" Type="http://schemas.openxmlformats.org/officeDocument/2006/relationships/ctrlProp" Target="../ctrlProps/ctrlProp522.xml"/><Relationship Id="rId91" Type="http://schemas.openxmlformats.org/officeDocument/2006/relationships/ctrlProp" Target="../ctrlProps/ctrlProp525.xml"/><Relationship Id="rId96" Type="http://schemas.openxmlformats.org/officeDocument/2006/relationships/ctrlProp" Target="../ctrlProps/ctrlProp530.xml"/><Relationship Id="rId111" Type="http://schemas.openxmlformats.org/officeDocument/2006/relationships/ctrlProp" Target="../ctrlProps/ctrlProp545.xml"/><Relationship Id="rId132" Type="http://schemas.openxmlformats.org/officeDocument/2006/relationships/ctrlProp" Target="../ctrlProps/ctrlProp566.xml"/><Relationship Id="rId140" Type="http://schemas.openxmlformats.org/officeDocument/2006/relationships/ctrlProp" Target="../ctrlProps/ctrlProp574.xml"/><Relationship Id="rId145" Type="http://schemas.openxmlformats.org/officeDocument/2006/relationships/ctrlProp" Target="../ctrlProps/ctrlProp579.xml"/><Relationship Id="rId1" Type="http://schemas.openxmlformats.org/officeDocument/2006/relationships/printerSettings" Target="../printerSettings/printerSettings8.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6" Type="http://schemas.openxmlformats.org/officeDocument/2006/relationships/ctrlProp" Target="../ctrlProps/ctrlProp540.xml"/><Relationship Id="rId114" Type="http://schemas.openxmlformats.org/officeDocument/2006/relationships/ctrlProp" Target="../ctrlProps/ctrlProp548.xml"/><Relationship Id="rId119" Type="http://schemas.openxmlformats.org/officeDocument/2006/relationships/ctrlProp" Target="../ctrlProps/ctrlProp553.xml"/><Relationship Id="rId127" Type="http://schemas.openxmlformats.org/officeDocument/2006/relationships/ctrlProp" Target="../ctrlProps/ctrlProp56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65" Type="http://schemas.openxmlformats.org/officeDocument/2006/relationships/ctrlProp" Target="../ctrlProps/ctrlProp499.xml"/><Relationship Id="rId73" Type="http://schemas.openxmlformats.org/officeDocument/2006/relationships/ctrlProp" Target="../ctrlProps/ctrlProp507.xml"/><Relationship Id="rId78" Type="http://schemas.openxmlformats.org/officeDocument/2006/relationships/ctrlProp" Target="../ctrlProps/ctrlProp512.xml"/><Relationship Id="rId81" Type="http://schemas.openxmlformats.org/officeDocument/2006/relationships/ctrlProp" Target="../ctrlProps/ctrlProp515.xml"/><Relationship Id="rId86" Type="http://schemas.openxmlformats.org/officeDocument/2006/relationships/ctrlProp" Target="../ctrlProps/ctrlProp520.xml"/><Relationship Id="rId94" Type="http://schemas.openxmlformats.org/officeDocument/2006/relationships/ctrlProp" Target="../ctrlProps/ctrlProp528.xml"/><Relationship Id="rId99" Type="http://schemas.openxmlformats.org/officeDocument/2006/relationships/ctrlProp" Target="../ctrlProps/ctrlProp533.xml"/><Relationship Id="rId101" Type="http://schemas.openxmlformats.org/officeDocument/2006/relationships/ctrlProp" Target="../ctrlProps/ctrlProp535.xml"/><Relationship Id="rId122" Type="http://schemas.openxmlformats.org/officeDocument/2006/relationships/ctrlProp" Target="../ctrlProps/ctrlProp556.xml"/><Relationship Id="rId130" Type="http://schemas.openxmlformats.org/officeDocument/2006/relationships/ctrlProp" Target="../ctrlProps/ctrlProp564.xml"/><Relationship Id="rId135" Type="http://schemas.openxmlformats.org/officeDocument/2006/relationships/ctrlProp" Target="../ctrlProps/ctrlProp569.xml"/><Relationship Id="rId143" Type="http://schemas.openxmlformats.org/officeDocument/2006/relationships/ctrlProp" Target="../ctrlProps/ctrlProp577.xml"/><Relationship Id="rId148" Type="http://schemas.openxmlformats.org/officeDocument/2006/relationships/ctrlProp" Target="../ctrlProps/ctrlProp582.xml"/><Relationship Id="rId4" Type="http://schemas.openxmlformats.org/officeDocument/2006/relationships/ctrlProp" Target="../ctrlProps/ctrlProp438.xml"/><Relationship Id="rId9" Type="http://schemas.openxmlformats.org/officeDocument/2006/relationships/ctrlProp" Target="../ctrlProps/ctrlProp443.xml"/><Relationship Id="rId13" Type="http://schemas.openxmlformats.org/officeDocument/2006/relationships/ctrlProp" Target="../ctrlProps/ctrlProp447.xml"/><Relationship Id="rId18" Type="http://schemas.openxmlformats.org/officeDocument/2006/relationships/ctrlProp" Target="../ctrlProps/ctrlProp452.xml"/><Relationship Id="rId39" Type="http://schemas.openxmlformats.org/officeDocument/2006/relationships/ctrlProp" Target="../ctrlProps/ctrlProp473.xml"/><Relationship Id="rId109" Type="http://schemas.openxmlformats.org/officeDocument/2006/relationships/ctrlProp" Target="../ctrlProps/ctrlProp543.xml"/><Relationship Id="rId34" Type="http://schemas.openxmlformats.org/officeDocument/2006/relationships/ctrlProp" Target="../ctrlProps/ctrlProp468.xml"/><Relationship Id="rId50" Type="http://schemas.openxmlformats.org/officeDocument/2006/relationships/ctrlProp" Target="../ctrlProps/ctrlProp484.xml"/><Relationship Id="rId55" Type="http://schemas.openxmlformats.org/officeDocument/2006/relationships/ctrlProp" Target="../ctrlProps/ctrlProp489.xml"/><Relationship Id="rId76" Type="http://schemas.openxmlformats.org/officeDocument/2006/relationships/ctrlProp" Target="../ctrlProps/ctrlProp510.xml"/><Relationship Id="rId97" Type="http://schemas.openxmlformats.org/officeDocument/2006/relationships/ctrlProp" Target="../ctrlProps/ctrlProp531.xml"/><Relationship Id="rId104" Type="http://schemas.openxmlformats.org/officeDocument/2006/relationships/ctrlProp" Target="../ctrlProps/ctrlProp538.xml"/><Relationship Id="rId120" Type="http://schemas.openxmlformats.org/officeDocument/2006/relationships/ctrlProp" Target="../ctrlProps/ctrlProp554.xml"/><Relationship Id="rId125" Type="http://schemas.openxmlformats.org/officeDocument/2006/relationships/ctrlProp" Target="../ctrlProps/ctrlProp559.xml"/><Relationship Id="rId141" Type="http://schemas.openxmlformats.org/officeDocument/2006/relationships/ctrlProp" Target="../ctrlProps/ctrlProp575.xml"/><Relationship Id="rId146" Type="http://schemas.openxmlformats.org/officeDocument/2006/relationships/ctrlProp" Target="../ctrlProps/ctrlProp580.xml"/><Relationship Id="rId7" Type="http://schemas.openxmlformats.org/officeDocument/2006/relationships/ctrlProp" Target="../ctrlProps/ctrlProp441.xml"/><Relationship Id="rId71" Type="http://schemas.openxmlformats.org/officeDocument/2006/relationships/ctrlProp" Target="../ctrlProps/ctrlProp505.xml"/><Relationship Id="rId92" Type="http://schemas.openxmlformats.org/officeDocument/2006/relationships/ctrlProp" Target="../ctrlProps/ctrlProp526.xml"/><Relationship Id="rId2" Type="http://schemas.openxmlformats.org/officeDocument/2006/relationships/drawing" Target="../drawings/drawing6.xml"/><Relationship Id="rId29" Type="http://schemas.openxmlformats.org/officeDocument/2006/relationships/ctrlProp" Target="../ctrlProps/ctrlProp463.xml"/><Relationship Id="rId24" Type="http://schemas.openxmlformats.org/officeDocument/2006/relationships/ctrlProp" Target="../ctrlProps/ctrlProp458.xml"/><Relationship Id="rId40" Type="http://schemas.openxmlformats.org/officeDocument/2006/relationships/ctrlProp" Target="../ctrlProps/ctrlProp474.xml"/><Relationship Id="rId45" Type="http://schemas.openxmlformats.org/officeDocument/2006/relationships/ctrlProp" Target="../ctrlProps/ctrlProp479.xml"/><Relationship Id="rId66" Type="http://schemas.openxmlformats.org/officeDocument/2006/relationships/ctrlProp" Target="../ctrlProps/ctrlProp500.xml"/><Relationship Id="rId87" Type="http://schemas.openxmlformats.org/officeDocument/2006/relationships/ctrlProp" Target="../ctrlProps/ctrlProp521.xml"/><Relationship Id="rId110" Type="http://schemas.openxmlformats.org/officeDocument/2006/relationships/ctrlProp" Target="../ctrlProps/ctrlProp544.xml"/><Relationship Id="rId115" Type="http://schemas.openxmlformats.org/officeDocument/2006/relationships/ctrlProp" Target="../ctrlProps/ctrlProp549.xml"/><Relationship Id="rId131" Type="http://schemas.openxmlformats.org/officeDocument/2006/relationships/ctrlProp" Target="../ctrlProps/ctrlProp565.xml"/><Relationship Id="rId136" Type="http://schemas.openxmlformats.org/officeDocument/2006/relationships/ctrlProp" Target="../ctrlProps/ctrlProp570.xml"/><Relationship Id="rId61" Type="http://schemas.openxmlformats.org/officeDocument/2006/relationships/ctrlProp" Target="../ctrlProps/ctrlProp495.xml"/><Relationship Id="rId82" Type="http://schemas.openxmlformats.org/officeDocument/2006/relationships/ctrlProp" Target="../ctrlProps/ctrlProp516.xml"/><Relationship Id="rId19" Type="http://schemas.openxmlformats.org/officeDocument/2006/relationships/ctrlProp" Target="../ctrlProps/ctrlProp453.xml"/><Relationship Id="rId14" Type="http://schemas.openxmlformats.org/officeDocument/2006/relationships/ctrlProp" Target="../ctrlProps/ctrlProp448.xml"/><Relationship Id="rId30" Type="http://schemas.openxmlformats.org/officeDocument/2006/relationships/ctrlProp" Target="../ctrlProps/ctrlProp464.xml"/><Relationship Id="rId35" Type="http://schemas.openxmlformats.org/officeDocument/2006/relationships/ctrlProp" Target="../ctrlProps/ctrlProp469.xml"/><Relationship Id="rId56" Type="http://schemas.openxmlformats.org/officeDocument/2006/relationships/ctrlProp" Target="../ctrlProps/ctrlProp490.xml"/><Relationship Id="rId77" Type="http://schemas.openxmlformats.org/officeDocument/2006/relationships/ctrlProp" Target="../ctrlProps/ctrlProp511.xml"/><Relationship Id="rId100" Type="http://schemas.openxmlformats.org/officeDocument/2006/relationships/ctrlProp" Target="../ctrlProps/ctrlProp534.xml"/><Relationship Id="rId105" Type="http://schemas.openxmlformats.org/officeDocument/2006/relationships/ctrlProp" Target="../ctrlProps/ctrlProp539.xml"/><Relationship Id="rId126" Type="http://schemas.openxmlformats.org/officeDocument/2006/relationships/ctrlProp" Target="../ctrlProps/ctrlProp560.xml"/><Relationship Id="rId147" Type="http://schemas.openxmlformats.org/officeDocument/2006/relationships/ctrlProp" Target="../ctrlProps/ctrlProp581.xml"/><Relationship Id="rId8" Type="http://schemas.openxmlformats.org/officeDocument/2006/relationships/ctrlProp" Target="../ctrlProps/ctrlProp442.xml"/><Relationship Id="rId51" Type="http://schemas.openxmlformats.org/officeDocument/2006/relationships/ctrlProp" Target="../ctrlProps/ctrlProp485.xml"/><Relationship Id="rId72" Type="http://schemas.openxmlformats.org/officeDocument/2006/relationships/ctrlProp" Target="../ctrlProps/ctrlProp506.xml"/><Relationship Id="rId93" Type="http://schemas.openxmlformats.org/officeDocument/2006/relationships/ctrlProp" Target="../ctrlProps/ctrlProp527.xml"/><Relationship Id="rId98" Type="http://schemas.openxmlformats.org/officeDocument/2006/relationships/ctrlProp" Target="../ctrlProps/ctrlProp532.xml"/><Relationship Id="rId121" Type="http://schemas.openxmlformats.org/officeDocument/2006/relationships/ctrlProp" Target="../ctrlProps/ctrlProp555.xml"/><Relationship Id="rId142" Type="http://schemas.openxmlformats.org/officeDocument/2006/relationships/ctrlProp" Target="../ctrlProps/ctrlProp5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85.xml"/><Relationship Id="rId5" Type="http://schemas.openxmlformats.org/officeDocument/2006/relationships/ctrlProp" Target="../ctrlProps/ctrlProp584.xml"/><Relationship Id="rId10" Type="http://schemas.openxmlformats.org/officeDocument/2006/relationships/comments" Target="../comments7.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tabSelected="1" zoomScale="120" zoomScaleNormal="120" workbookViewId="0">
      <selection activeCell="C12" sqref="C12:I12"/>
    </sheetView>
  </sheetViews>
  <sheetFormatPr defaultColWidth="2.81640625" defaultRowHeight="13" x14ac:dyDescent="0.3"/>
  <cols>
    <col min="1" max="1" width="14" style="2" customWidth="1"/>
    <col min="2" max="9" width="9.1796875" style="2" customWidth="1"/>
    <col min="10" max="10" width="9.1796875" style="2" hidden="1" customWidth="1"/>
    <col min="11" max="11" width="12.26953125" style="2" hidden="1" customWidth="1"/>
    <col min="12" max="130" width="9.1796875" style="2" hidden="1" customWidth="1"/>
    <col min="131" max="255" width="9.1796875" style="2" customWidth="1"/>
    <col min="256" max="16384" width="2.81640625" style="2"/>
  </cols>
  <sheetData>
    <row r="1" spans="1:17" ht="18" x14ac:dyDescent="0.4">
      <c r="A1" s="725" t="s">
        <v>929</v>
      </c>
      <c r="B1" s="725"/>
      <c r="C1" s="725"/>
      <c r="D1" s="725"/>
      <c r="E1" s="725"/>
      <c r="F1" s="725"/>
      <c r="G1" s="725"/>
      <c r="H1" s="725"/>
      <c r="I1" s="725"/>
    </row>
    <row r="2" spans="1:17" ht="17.25" customHeight="1" x14ac:dyDescent="0.35">
      <c r="A2" s="726" t="s">
        <v>2329</v>
      </c>
      <c r="B2" s="726"/>
      <c r="C2" s="726"/>
      <c r="D2" s="726"/>
      <c r="E2" s="726"/>
      <c r="F2" s="726"/>
      <c r="G2" s="726"/>
      <c r="H2" s="726"/>
      <c r="I2" s="726"/>
    </row>
    <row r="3" spans="1:17" x14ac:dyDescent="0.3">
      <c r="D3" s="1"/>
      <c r="E3" s="1"/>
      <c r="K3" s="334">
        <f ca="1">TODAY()</f>
        <v>45833</v>
      </c>
    </row>
    <row r="4" spans="1:17" ht="15.75" customHeight="1" x14ac:dyDescent="0.35">
      <c r="A4" s="347" t="s">
        <v>2153</v>
      </c>
      <c r="I4" s="541"/>
      <c r="K4" s="334">
        <v>38353</v>
      </c>
    </row>
    <row r="5" spans="1:17" ht="18" customHeight="1" x14ac:dyDescent="0.35">
      <c r="A5" s="542" t="s">
        <v>2154</v>
      </c>
      <c r="H5" s="540"/>
      <c r="I5" s="539"/>
    </row>
    <row r="6" spans="1:17" ht="15.75" customHeight="1" x14ac:dyDescent="0.3">
      <c r="A6" s="708"/>
      <c r="B6" s="708"/>
      <c r="C6" s="2" t="s">
        <v>553</v>
      </c>
      <c r="E6" s="730" t="s">
        <v>587</v>
      </c>
      <c r="F6" s="731"/>
      <c r="G6" s="731"/>
      <c r="H6" s="731"/>
      <c r="I6" s="732"/>
      <c r="K6" s="308" t="s">
        <v>1770</v>
      </c>
      <c r="L6" s="309"/>
      <c r="M6" s="309"/>
      <c r="N6" s="309"/>
      <c r="O6" s="309"/>
      <c r="P6" s="309"/>
      <c r="Q6" s="310"/>
    </row>
    <row r="7" spans="1:17" ht="15.75" customHeight="1" x14ac:dyDescent="0.3">
      <c r="A7" s="708"/>
      <c r="B7" s="708"/>
      <c r="C7" s="2" t="s">
        <v>554</v>
      </c>
      <c r="E7" s="733"/>
      <c r="F7" s="734"/>
      <c r="G7" s="734"/>
      <c r="H7" s="734"/>
      <c r="I7" s="735"/>
      <c r="K7" s="308" t="s">
        <v>1193</v>
      </c>
      <c r="L7" s="309"/>
      <c r="M7" s="309"/>
      <c r="N7" s="309"/>
      <c r="O7" s="309"/>
      <c r="P7" s="309"/>
      <c r="Q7" s="310"/>
    </row>
    <row r="8" spans="1:17" ht="18" customHeight="1" x14ac:dyDescent="0.3">
      <c r="A8" s="709"/>
      <c r="B8" s="709"/>
      <c r="C8" s="2" t="s">
        <v>1188</v>
      </c>
      <c r="E8" s="736"/>
      <c r="F8" s="737"/>
      <c r="G8" s="737"/>
      <c r="H8" s="737"/>
      <c r="I8" s="738"/>
      <c r="K8" s="308" t="s">
        <v>2151</v>
      </c>
      <c r="L8" s="309"/>
      <c r="M8" s="309"/>
      <c r="N8" s="309"/>
      <c r="O8" s="309"/>
      <c r="P8" s="309"/>
      <c r="Q8" s="310"/>
    </row>
    <row r="9" spans="1:17" ht="18" customHeight="1" x14ac:dyDescent="0.3">
      <c r="A9" s="709"/>
      <c r="B9" s="709"/>
      <c r="C9" s="2" t="str">
        <f>IF(A9&gt;A8,K8,K6)</f>
        <v>Date of birth (required if social/vocational factors apply and for hearing loss claims)</v>
      </c>
      <c r="K9" s="308" t="s">
        <v>2152</v>
      </c>
      <c r="L9" s="309"/>
      <c r="M9" s="309"/>
      <c r="N9" s="309"/>
      <c r="O9" s="309"/>
      <c r="P9" s="309"/>
      <c r="Q9" s="310"/>
    </row>
    <row r="10" spans="1:17" ht="18" customHeight="1" x14ac:dyDescent="0.3">
      <c r="A10" s="729"/>
      <c r="B10" s="729"/>
      <c r="C10" s="2" t="s">
        <v>1393</v>
      </c>
      <c r="K10" s="308" t="s">
        <v>1216</v>
      </c>
      <c r="L10" s="309"/>
      <c r="M10" s="309"/>
      <c r="N10" s="309"/>
      <c r="O10" s="309"/>
      <c r="P10" s="309"/>
      <c r="Q10" s="310"/>
    </row>
    <row r="11" spans="1:17" ht="18" customHeight="1" x14ac:dyDescent="0.3">
      <c r="A11" s="709"/>
      <c r="B11" s="709"/>
      <c r="C11" s="2" t="str">
        <f>IF(A11="","Date of issuance (required for calculation of age)",IF(A11&lt;A9,K9,IF(A11&lt;A8,K10,K7)))</f>
        <v>Date of issuance (required for calculation of age)</v>
      </c>
      <c r="E11" s="348"/>
      <c r="F11" s="349"/>
      <c r="G11" s="349"/>
      <c r="H11" s="349"/>
      <c r="I11" s="349"/>
    </row>
    <row r="12" spans="1:17" ht="47.25" customHeight="1" x14ac:dyDescent="0.35">
      <c r="A12" s="350" t="s">
        <v>1779</v>
      </c>
      <c r="B12" s="238"/>
      <c r="C12" s="711" t="s">
        <v>2343</v>
      </c>
      <c r="D12" s="711"/>
      <c r="E12" s="711"/>
      <c r="F12" s="711"/>
      <c r="G12" s="711"/>
      <c r="H12" s="711"/>
      <c r="I12" s="711"/>
    </row>
    <row r="13" spans="1:17" ht="37.5" customHeight="1" x14ac:dyDescent="0.3">
      <c r="A13" s="727" t="s">
        <v>1180</v>
      </c>
      <c r="B13" s="727"/>
      <c r="C13" s="727"/>
      <c r="D13" s="727"/>
      <c r="E13" s="727" t="s">
        <v>619</v>
      </c>
      <c r="F13" s="728"/>
      <c r="G13" s="728"/>
      <c r="H13" s="728"/>
      <c r="I13" s="728"/>
    </row>
    <row r="14" spans="1:17" x14ac:dyDescent="0.3">
      <c r="A14" s="710" t="s">
        <v>1492</v>
      </c>
      <c r="B14" s="710"/>
      <c r="C14" s="710"/>
      <c r="F14" s="10"/>
      <c r="G14" s="10"/>
      <c r="H14" s="10"/>
      <c r="I14" s="10"/>
      <c r="J14" s="10"/>
      <c r="K14" s="10"/>
      <c r="L14" s="10"/>
      <c r="M14" s="10"/>
    </row>
    <row r="15" spans="1:17" x14ac:dyDescent="0.3">
      <c r="A15" s="710" t="s">
        <v>271</v>
      </c>
      <c r="B15" s="710"/>
      <c r="C15" s="710"/>
      <c r="D15" s="6" t="s">
        <v>19</v>
      </c>
      <c r="E15" s="713" t="s">
        <v>1456</v>
      </c>
      <c r="F15" s="715"/>
      <c r="G15" s="715"/>
      <c r="H15" s="715"/>
      <c r="I15" s="715"/>
      <c r="J15" s="10"/>
      <c r="K15" s="10"/>
      <c r="L15" s="10"/>
      <c r="M15" s="10"/>
    </row>
    <row r="16" spans="1:17" x14ac:dyDescent="0.3">
      <c r="A16" s="710" t="s">
        <v>567</v>
      </c>
      <c r="B16" s="710"/>
      <c r="C16" s="710"/>
      <c r="D16" s="6"/>
      <c r="E16" s="715"/>
      <c r="F16" s="715"/>
      <c r="G16" s="715"/>
      <c r="H16" s="715"/>
      <c r="I16" s="715"/>
      <c r="J16" s="10"/>
      <c r="K16" s="10"/>
      <c r="L16" s="10"/>
      <c r="M16" s="10"/>
    </row>
    <row r="17" spans="1:13" x14ac:dyDescent="0.3">
      <c r="A17" s="710" t="s">
        <v>273</v>
      </c>
      <c r="B17" s="710"/>
      <c r="C17" s="710"/>
      <c r="D17" s="6" t="s">
        <v>20</v>
      </c>
      <c r="E17" s="713" t="s">
        <v>1179</v>
      </c>
      <c r="F17" s="713"/>
      <c r="G17" s="713"/>
      <c r="H17" s="713"/>
      <c r="I17" s="713"/>
      <c r="J17" s="10"/>
      <c r="K17" s="10"/>
      <c r="L17" s="10"/>
      <c r="M17" s="10"/>
    </row>
    <row r="18" spans="1:13" x14ac:dyDescent="0.3">
      <c r="A18" s="710" t="s">
        <v>14</v>
      </c>
      <c r="B18" s="710"/>
      <c r="C18" s="710"/>
      <c r="D18" s="6"/>
      <c r="E18" s="713"/>
      <c r="F18" s="713"/>
      <c r="G18" s="713"/>
      <c r="H18" s="713"/>
      <c r="I18" s="713"/>
      <c r="J18" s="10"/>
      <c r="K18" s="10"/>
      <c r="L18" s="10"/>
      <c r="M18" s="10"/>
    </row>
    <row r="19" spans="1:13" x14ac:dyDescent="0.3">
      <c r="A19" s="710" t="s">
        <v>13</v>
      </c>
      <c r="B19" s="710"/>
      <c r="C19" s="710"/>
      <c r="D19" s="6" t="s">
        <v>21</v>
      </c>
      <c r="E19" s="713" t="s">
        <v>1867</v>
      </c>
      <c r="F19" s="713"/>
      <c r="G19" s="713"/>
      <c r="H19" s="713"/>
      <c r="I19" s="713"/>
      <c r="J19" s="10"/>
      <c r="K19" s="10"/>
      <c r="L19" s="10"/>
      <c r="M19" s="10"/>
    </row>
    <row r="20" spans="1:13" x14ac:dyDescent="0.3">
      <c r="A20" s="710" t="s">
        <v>1488</v>
      </c>
      <c r="B20" s="710"/>
      <c r="C20" s="710"/>
      <c r="D20" s="6"/>
      <c r="E20" s="713"/>
      <c r="F20" s="713"/>
      <c r="G20" s="713"/>
      <c r="H20" s="713"/>
      <c r="I20" s="713"/>
      <c r="J20" s="10"/>
      <c r="K20" s="10"/>
      <c r="L20" s="10"/>
      <c r="M20" s="10"/>
    </row>
    <row r="21" spans="1:13" ht="12.75" customHeight="1" x14ac:dyDescent="0.3">
      <c r="A21" s="710" t="s">
        <v>275</v>
      </c>
      <c r="B21" s="710"/>
      <c r="C21" s="710"/>
      <c r="D21" s="6" t="s">
        <v>22</v>
      </c>
      <c r="E21" s="712" t="s">
        <v>1455</v>
      </c>
      <c r="F21" s="712"/>
      <c r="G21" s="712"/>
      <c r="H21" s="712"/>
      <c r="I21" s="712"/>
      <c r="J21" s="10"/>
      <c r="K21" s="10"/>
      <c r="L21" s="10"/>
      <c r="M21" s="10"/>
    </row>
    <row r="22" spans="1:13" x14ac:dyDescent="0.3">
      <c r="A22" s="710" t="s">
        <v>17</v>
      </c>
      <c r="B22" s="710"/>
      <c r="C22" s="710"/>
      <c r="D22" s="6" t="s">
        <v>23</v>
      </c>
      <c r="E22" s="713" t="s">
        <v>617</v>
      </c>
      <c r="F22" s="714"/>
      <c r="G22" s="714"/>
      <c r="H22" s="714"/>
      <c r="I22" s="714"/>
    </row>
    <row r="23" spans="1:13" x14ac:dyDescent="0.3">
      <c r="A23" s="710" t="s">
        <v>18</v>
      </c>
      <c r="B23" s="710"/>
      <c r="C23" s="710"/>
      <c r="E23" s="714"/>
      <c r="F23" s="714"/>
      <c r="G23" s="714"/>
      <c r="H23" s="714"/>
      <c r="I23" s="714"/>
    </row>
    <row r="24" spans="1:13" x14ac:dyDescent="0.3">
      <c r="A24" s="710" t="s">
        <v>16</v>
      </c>
      <c r="B24" s="710"/>
      <c r="C24" s="710"/>
      <c r="D24" s="6" t="s">
        <v>24</v>
      </c>
      <c r="E24" s="713" t="s">
        <v>1178</v>
      </c>
      <c r="F24" s="714"/>
      <c r="G24" s="714"/>
      <c r="H24" s="714"/>
      <c r="I24" s="714"/>
    </row>
    <row r="25" spans="1:13" x14ac:dyDescent="0.3">
      <c r="A25" s="710" t="s">
        <v>15</v>
      </c>
      <c r="B25" s="710"/>
      <c r="C25" s="710"/>
      <c r="E25" s="714"/>
      <c r="F25" s="714"/>
      <c r="G25" s="714"/>
      <c r="H25" s="714"/>
      <c r="I25" s="714"/>
    </row>
    <row r="26" spans="1:13" x14ac:dyDescent="0.3">
      <c r="A26" s="710" t="s">
        <v>1486</v>
      </c>
      <c r="B26" s="710"/>
      <c r="C26" s="710"/>
      <c r="D26" s="6" t="s">
        <v>25</v>
      </c>
      <c r="E26" s="713" t="s">
        <v>618</v>
      </c>
      <c r="F26" s="714"/>
      <c r="G26" s="714"/>
      <c r="H26" s="714"/>
      <c r="I26" s="714"/>
    </row>
    <row r="27" spans="1:13" x14ac:dyDescent="0.3">
      <c r="A27" s="710" t="s">
        <v>1487</v>
      </c>
      <c r="B27" s="710"/>
      <c r="C27" s="710"/>
      <c r="E27" s="714"/>
      <c r="F27" s="714"/>
      <c r="G27" s="714"/>
      <c r="H27" s="714"/>
      <c r="I27" s="714"/>
    </row>
    <row r="28" spans="1:13" x14ac:dyDescent="0.3">
      <c r="A28" s="710" t="s">
        <v>1070</v>
      </c>
      <c r="B28" s="710"/>
      <c r="C28" s="710"/>
      <c r="D28" s="6"/>
      <c r="F28" s="10"/>
      <c r="G28" s="10"/>
      <c r="H28" s="10"/>
      <c r="I28" s="10"/>
    </row>
    <row r="29" spans="1:13" x14ac:dyDescent="0.3">
      <c r="A29" s="710" t="s">
        <v>1494</v>
      </c>
      <c r="B29" s="710"/>
      <c r="C29" s="710"/>
      <c r="F29" s="707" t="s">
        <v>2339</v>
      </c>
    </row>
    <row r="30" spans="1:13" x14ac:dyDescent="0.3">
      <c r="A30" s="710" t="s">
        <v>272</v>
      </c>
      <c r="B30" s="710"/>
      <c r="C30" s="710"/>
      <c r="E30" s="2" t="s">
        <v>2336</v>
      </c>
    </row>
    <row r="31" spans="1:13" x14ac:dyDescent="0.3">
      <c r="A31" s="710" t="s">
        <v>1490</v>
      </c>
      <c r="B31" s="710"/>
      <c r="C31" s="710"/>
      <c r="E31" s="2" t="s">
        <v>2337</v>
      </c>
    </row>
    <row r="32" spans="1:13" ht="15.5" x14ac:dyDescent="0.35">
      <c r="A32" s="710" t="s">
        <v>1491</v>
      </c>
      <c r="B32" s="710"/>
      <c r="C32" s="710"/>
      <c r="D32" s="347"/>
      <c r="E32" s="706" t="s">
        <v>2338</v>
      </c>
      <c r="G32" s="347"/>
      <c r="H32" s="347"/>
      <c r="I32" s="347"/>
    </row>
    <row r="33" spans="1:9" ht="15.5" x14ac:dyDescent="0.35">
      <c r="A33" s="710" t="s">
        <v>274</v>
      </c>
      <c r="B33" s="710"/>
      <c r="C33" s="710"/>
      <c r="D33" s="347"/>
      <c r="E33" s="347"/>
      <c r="F33" s="347" t="s">
        <v>1750</v>
      </c>
      <c r="G33" s="347"/>
      <c r="H33" s="347"/>
      <c r="I33" s="347"/>
    </row>
    <row r="34" spans="1:9" ht="15.5" x14ac:dyDescent="0.35">
      <c r="A34" s="710" t="s">
        <v>1493</v>
      </c>
      <c r="B34" s="710"/>
      <c r="C34" s="710"/>
      <c r="D34" s="347"/>
      <c r="E34" s="2" t="s">
        <v>2340</v>
      </c>
      <c r="F34" s="347"/>
      <c r="G34" s="347"/>
      <c r="H34" s="347"/>
      <c r="I34" s="347"/>
    </row>
    <row r="35" spans="1:9" x14ac:dyDescent="0.3">
      <c r="A35" s="710" t="s">
        <v>1181</v>
      </c>
      <c r="B35" s="710"/>
      <c r="C35" s="710"/>
      <c r="E35" s="2" t="s">
        <v>2341</v>
      </c>
    </row>
    <row r="36" spans="1:9" ht="15" x14ac:dyDescent="0.3">
      <c r="A36" s="710" t="s">
        <v>1485</v>
      </c>
      <c r="B36" s="710"/>
      <c r="C36" s="710"/>
      <c r="D36" s="173"/>
      <c r="E36" s="246" t="s">
        <v>2342</v>
      </c>
    </row>
    <row r="37" spans="1:9" x14ac:dyDescent="0.3">
      <c r="A37" s="710" t="s">
        <v>1489</v>
      </c>
      <c r="B37" s="710"/>
      <c r="C37" s="710"/>
      <c r="D37" s="174"/>
      <c r="E37" s="174"/>
    </row>
    <row r="40" spans="1:9" ht="15" customHeight="1" x14ac:dyDescent="0.3">
      <c r="A40" s="351" t="s">
        <v>1780</v>
      </c>
    </row>
    <row r="41" spans="1:9" ht="15" customHeight="1" x14ac:dyDescent="0.3">
      <c r="A41" s="716"/>
      <c r="B41" s="717"/>
      <c r="C41" s="717"/>
      <c r="D41" s="717"/>
      <c r="E41" s="717"/>
      <c r="F41" s="717"/>
      <c r="G41" s="717"/>
      <c r="H41" s="717"/>
      <c r="I41" s="718"/>
    </row>
    <row r="42" spans="1:9" ht="15" customHeight="1" x14ac:dyDescent="0.3">
      <c r="A42" s="719"/>
      <c r="B42" s="720"/>
      <c r="C42" s="720"/>
      <c r="D42" s="720"/>
      <c r="E42" s="720"/>
      <c r="F42" s="720"/>
      <c r="G42" s="720"/>
      <c r="H42" s="720"/>
      <c r="I42" s="721"/>
    </row>
    <row r="43" spans="1:9" x14ac:dyDescent="0.3">
      <c r="A43" s="719"/>
      <c r="B43" s="720"/>
      <c r="C43" s="720"/>
      <c r="D43" s="720"/>
      <c r="E43" s="720"/>
      <c r="F43" s="720"/>
      <c r="G43" s="720"/>
      <c r="H43" s="720"/>
      <c r="I43" s="721"/>
    </row>
    <row r="44" spans="1:9" x14ac:dyDescent="0.3">
      <c r="A44" s="719"/>
      <c r="B44" s="720"/>
      <c r="C44" s="720"/>
      <c r="D44" s="720"/>
      <c r="E44" s="720"/>
      <c r="F44" s="720"/>
      <c r="G44" s="720"/>
      <c r="H44" s="720"/>
      <c r="I44" s="721"/>
    </row>
    <row r="45" spans="1:9" x14ac:dyDescent="0.3">
      <c r="A45" s="719"/>
      <c r="B45" s="720"/>
      <c r="C45" s="720"/>
      <c r="D45" s="720"/>
      <c r="E45" s="720"/>
      <c r="F45" s="720"/>
      <c r="G45" s="720"/>
      <c r="H45" s="720"/>
      <c r="I45" s="721"/>
    </row>
    <row r="46" spans="1:9" x14ac:dyDescent="0.3">
      <c r="A46" s="719"/>
      <c r="B46" s="720"/>
      <c r="C46" s="720"/>
      <c r="D46" s="720"/>
      <c r="E46" s="720"/>
      <c r="F46" s="720"/>
      <c r="G46" s="720"/>
      <c r="H46" s="720"/>
      <c r="I46" s="721"/>
    </row>
    <row r="47" spans="1:9" x14ac:dyDescent="0.3">
      <c r="A47" s="719"/>
      <c r="B47" s="720"/>
      <c r="C47" s="720"/>
      <c r="D47" s="720"/>
      <c r="E47" s="720"/>
      <c r="F47" s="720"/>
      <c r="G47" s="720"/>
      <c r="H47" s="720"/>
      <c r="I47" s="721"/>
    </row>
    <row r="48" spans="1:9" x14ac:dyDescent="0.3">
      <c r="A48" s="719"/>
      <c r="B48" s="720"/>
      <c r="C48" s="720"/>
      <c r="D48" s="720"/>
      <c r="E48" s="720"/>
      <c r="F48" s="720"/>
      <c r="G48" s="720"/>
      <c r="H48" s="720"/>
      <c r="I48" s="721"/>
    </row>
    <row r="49" spans="1:9" ht="15" customHeight="1" x14ac:dyDescent="0.3">
      <c r="A49" s="719"/>
      <c r="B49" s="720"/>
      <c r="C49" s="720"/>
      <c r="D49" s="720"/>
      <c r="E49" s="720"/>
      <c r="F49" s="720"/>
      <c r="G49" s="720"/>
      <c r="H49" s="720"/>
      <c r="I49" s="721"/>
    </row>
    <row r="50" spans="1:9" ht="15" customHeight="1" x14ac:dyDescent="0.3">
      <c r="A50" s="719"/>
      <c r="B50" s="720"/>
      <c r="C50" s="720"/>
      <c r="D50" s="720"/>
      <c r="E50" s="720"/>
      <c r="F50" s="720"/>
      <c r="G50" s="720"/>
      <c r="H50" s="720"/>
      <c r="I50" s="721"/>
    </row>
    <row r="51" spans="1:9" x14ac:dyDescent="0.3">
      <c r="A51" s="719"/>
      <c r="B51" s="720"/>
      <c r="C51" s="720"/>
      <c r="D51" s="720"/>
      <c r="E51" s="720"/>
      <c r="F51" s="720"/>
      <c r="G51" s="720"/>
      <c r="H51" s="720"/>
      <c r="I51" s="721"/>
    </row>
    <row r="52" spans="1:9" x14ac:dyDescent="0.3">
      <c r="A52" s="719"/>
      <c r="B52" s="720"/>
      <c r="C52" s="720"/>
      <c r="D52" s="720"/>
      <c r="E52" s="720"/>
      <c r="F52" s="720"/>
      <c r="G52" s="720"/>
      <c r="H52" s="720"/>
      <c r="I52" s="721"/>
    </row>
    <row r="53" spans="1:9" x14ac:dyDescent="0.3">
      <c r="A53" s="719"/>
      <c r="B53" s="720"/>
      <c r="C53" s="720"/>
      <c r="D53" s="720"/>
      <c r="E53" s="720"/>
      <c r="F53" s="720"/>
      <c r="G53" s="720"/>
      <c r="H53" s="720"/>
      <c r="I53" s="721"/>
    </row>
    <row r="54" spans="1:9" x14ac:dyDescent="0.3">
      <c r="A54" s="719"/>
      <c r="B54" s="720"/>
      <c r="C54" s="720"/>
      <c r="D54" s="720"/>
      <c r="E54" s="720"/>
      <c r="F54" s="720"/>
      <c r="G54" s="720"/>
      <c r="H54" s="720"/>
      <c r="I54" s="721"/>
    </row>
    <row r="55" spans="1:9" x14ac:dyDescent="0.3">
      <c r="A55" s="719"/>
      <c r="B55" s="720"/>
      <c r="C55" s="720"/>
      <c r="D55" s="720"/>
      <c r="E55" s="720"/>
      <c r="F55" s="720"/>
      <c r="G55" s="720"/>
      <c r="H55" s="720"/>
      <c r="I55" s="721"/>
    </row>
    <row r="56" spans="1:9" x14ac:dyDescent="0.3">
      <c r="A56" s="719"/>
      <c r="B56" s="720"/>
      <c r="C56" s="720"/>
      <c r="D56" s="720"/>
      <c r="E56" s="720"/>
      <c r="F56" s="720"/>
      <c r="G56" s="720"/>
      <c r="H56" s="720"/>
      <c r="I56" s="721"/>
    </row>
    <row r="57" spans="1:9" ht="15" customHeight="1" x14ac:dyDescent="0.3">
      <c r="A57" s="719"/>
      <c r="B57" s="720"/>
      <c r="C57" s="720"/>
      <c r="D57" s="720"/>
      <c r="E57" s="720"/>
      <c r="F57" s="720"/>
      <c r="G57" s="720"/>
      <c r="H57" s="720"/>
      <c r="I57" s="721"/>
    </row>
    <row r="58" spans="1:9" ht="15" customHeight="1" x14ac:dyDescent="0.3">
      <c r="A58" s="719"/>
      <c r="B58" s="720"/>
      <c r="C58" s="720"/>
      <c r="D58" s="720"/>
      <c r="E58" s="720"/>
      <c r="F58" s="720"/>
      <c r="G58" s="720"/>
      <c r="H58" s="720"/>
      <c r="I58" s="721"/>
    </row>
    <row r="59" spans="1:9" x14ac:dyDescent="0.3">
      <c r="A59" s="719"/>
      <c r="B59" s="720"/>
      <c r="C59" s="720"/>
      <c r="D59" s="720"/>
      <c r="E59" s="720"/>
      <c r="F59" s="720"/>
      <c r="G59" s="720"/>
      <c r="H59" s="720"/>
      <c r="I59" s="721"/>
    </row>
    <row r="60" spans="1:9" x14ac:dyDescent="0.3">
      <c r="A60" s="719"/>
      <c r="B60" s="720"/>
      <c r="C60" s="720"/>
      <c r="D60" s="720"/>
      <c r="E60" s="720"/>
      <c r="F60" s="720"/>
      <c r="G60" s="720"/>
      <c r="H60" s="720"/>
      <c r="I60" s="721"/>
    </row>
    <row r="61" spans="1:9" x14ac:dyDescent="0.3">
      <c r="A61" s="719"/>
      <c r="B61" s="720"/>
      <c r="C61" s="720"/>
      <c r="D61" s="720"/>
      <c r="E61" s="720"/>
      <c r="F61" s="720"/>
      <c r="G61" s="720"/>
      <c r="H61" s="720"/>
      <c r="I61" s="721"/>
    </row>
    <row r="62" spans="1:9" x14ac:dyDescent="0.3">
      <c r="A62" s="719"/>
      <c r="B62" s="720"/>
      <c r="C62" s="720"/>
      <c r="D62" s="720"/>
      <c r="E62" s="720"/>
      <c r="F62" s="720"/>
      <c r="G62" s="720"/>
      <c r="H62" s="720"/>
      <c r="I62" s="721"/>
    </row>
    <row r="63" spans="1:9" x14ac:dyDescent="0.3">
      <c r="A63" s="719"/>
      <c r="B63" s="720"/>
      <c r="C63" s="720"/>
      <c r="D63" s="720"/>
      <c r="E63" s="720"/>
      <c r="F63" s="720"/>
      <c r="G63" s="720"/>
      <c r="H63" s="720"/>
      <c r="I63" s="721"/>
    </row>
    <row r="64" spans="1:9" x14ac:dyDescent="0.3">
      <c r="A64" s="719"/>
      <c r="B64" s="720"/>
      <c r="C64" s="720"/>
      <c r="D64" s="720"/>
      <c r="E64" s="720"/>
      <c r="F64" s="720"/>
      <c r="G64" s="720"/>
      <c r="H64" s="720"/>
      <c r="I64" s="721"/>
    </row>
    <row r="65" spans="1:9" ht="15" customHeight="1" x14ac:dyDescent="0.3">
      <c r="A65" s="719"/>
      <c r="B65" s="720"/>
      <c r="C65" s="720"/>
      <c r="D65" s="720"/>
      <c r="E65" s="720"/>
      <c r="F65" s="720"/>
      <c r="G65" s="720"/>
      <c r="H65" s="720"/>
      <c r="I65" s="721"/>
    </row>
    <row r="66" spans="1:9" ht="15" customHeight="1" x14ac:dyDescent="0.3">
      <c r="A66" s="719"/>
      <c r="B66" s="720"/>
      <c r="C66" s="720"/>
      <c r="D66" s="720"/>
      <c r="E66" s="720"/>
      <c r="F66" s="720"/>
      <c r="G66" s="720"/>
      <c r="H66" s="720"/>
      <c r="I66" s="721"/>
    </row>
    <row r="67" spans="1:9" x14ac:dyDescent="0.3">
      <c r="A67" s="719"/>
      <c r="B67" s="720"/>
      <c r="C67" s="720"/>
      <c r="D67" s="720"/>
      <c r="E67" s="720"/>
      <c r="F67" s="720"/>
      <c r="G67" s="720"/>
      <c r="H67" s="720"/>
      <c r="I67" s="721"/>
    </row>
    <row r="68" spans="1:9" x14ac:dyDescent="0.3">
      <c r="A68" s="719"/>
      <c r="B68" s="720"/>
      <c r="C68" s="720"/>
      <c r="D68" s="720"/>
      <c r="E68" s="720"/>
      <c r="F68" s="720"/>
      <c r="G68" s="720"/>
      <c r="H68" s="720"/>
      <c r="I68" s="721"/>
    </row>
    <row r="69" spans="1:9" x14ac:dyDescent="0.3">
      <c r="A69" s="719"/>
      <c r="B69" s="720"/>
      <c r="C69" s="720"/>
      <c r="D69" s="720"/>
      <c r="E69" s="720"/>
      <c r="F69" s="720"/>
      <c r="G69" s="720"/>
      <c r="H69" s="720"/>
      <c r="I69" s="721"/>
    </row>
    <row r="70" spans="1:9" x14ac:dyDescent="0.3">
      <c r="A70" s="719"/>
      <c r="B70" s="720"/>
      <c r="C70" s="720"/>
      <c r="D70" s="720"/>
      <c r="E70" s="720"/>
      <c r="F70" s="720"/>
      <c r="G70" s="720"/>
      <c r="H70" s="720"/>
      <c r="I70" s="721"/>
    </row>
    <row r="71" spans="1:9" x14ac:dyDescent="0.3">
      <c r="A71" s="719"/>
      <c r="B71" s="720"/>
      <c r="C71" s="720"/>
      <c r="D71" s="720"/>
      <c r="E71" s="720"/>
      <c r="F71" s="720"/>
      <c r="G71" s="720"/>
      <c r="H71" s="720"/>
      <c r="I71" s="721"/>
    </row>
    <row r="72" spans="1:9" x14ac:dyDescent="0.3">
      <c r="A72" s="719"/>
      <c r="B72" s="720"/>
      <c r="C72" s="720"/>
      <c r="D72" s="720"/>
      <c r="E72" s="720"/>
      <c r="F72" s="720"/>
      <c r="G72" s="720"/>
      <c r="H72" s="720"/>
      <c r="I72" s="721"/>
    </row>
    <row r="73" spans="1:9" ht="15" customHeight="1" x14ac:dyDescent="0.3">
      <c r="A73" s="719"/>
      <c r="B73" s="720"/>
      <c r="C73" s="720"/>
      <c r="D73" s="720"/>
      <c r="E73" s="720"/>
      <c r="F73" s="720"/>
      <c r="G73" s="720"/>
      <c r="H73" s="720"/>
      <c r="I73" s="721"/>
    </row>
    <row r="74" spans="1:9" ht="15" customHeight="1" x14ac:dyDescent="0.3">
      <c r="A74" s="719"/>
      <c r="B74" s="720"/>
      <c r="C74" s="720"/>
      <c r="D74" s="720"/>
      <c r="E74" s="720"/>
      <c r="F74" s="720"/>
      <c r="G74" s="720"/>
      <c r="H74" s="720"/>
      <c r="I74" s="721"/>
    </row>
    <row r="75" spans="1:9" x14ac:dyDescent="0.3">
      <c r="A75" s="719"/>
      <c r="B75" s="720"/>
      <c r="C75" s="720"/>
      <c r="D75" s="720"/>
      <c r="E75" s="720"/>
      <c r="F75" s="720"/>
      <c r="G75" s="720"/>
      <c r="H75" s="720"/>
      <c r="I75" s="721"/>
    </row>
    <row r="76" spans="1:9" x14ac:dyDescent="0.3">
      <c r="A76" s="719"/>
      <c r="B76" s="720"/>
      <c r="C76" s="720"/>
      <c r="D76" s="720"/>
      <c r="E76" s="720"/>
      <c r="F76" s="720"/>
      <c r="G76" s="720"/>
      <c r="H76" s="720"/>
      <c r="I76" s="721"/>
    </row>
    <row r="77" spans="1:9" x14ac:dyDescent="0.3">
      <c r="A77" s="719"/>
      <c r="B77" s="720"/>
      <c r="C77" s="720"/>
      <c r="D77" s="720"/>
      <c r="E77" s="720"/>
      <c r="F77" s="720"/>
      <c r="G77" s="720"/>
      <c r="H77" s="720"/>
      <c r="I77" s="721"/>
    </row>
    <row r="78" spans="1:9" x14ac:dyDescent="0.3">
      <c r="A78" s="719"/>
      <c r="B78" s="720"/>
      <c r="C78" s="720"/>
      <c r="D78" s="720"/>
      <c r="E78" s="720"/>
      <c r="F78" s="720"/>
      <c r="G78" s="720"/>
      <c r="H78" s="720"/>
      <c r="I78" s="721"/>
    </row>
    <row r="79" spans="1:9" x14ac:dyDescent="0.3">
      <c r="A79" s="719"/>
      <c r="B79" s="720"/>
      <c r="C79" s="720"/>
      <c r="D79" s="720"/>
      <c r="E79" s="720"/>
      <c r="F79" s="720"/>
      <c r="G79" s="720"/>
      <c r="H79" s="720"/>
      <c r="I79" s="721"/>
    </row>
    <row r="80" spans="1:9" x14ac:dyDescent="0.3">
      <c r="A80" s="719"/>
      <c r="B80" s="720"/>
      <c r="C80" s="720"/>
      <c r="D80" s="720"/>
      <c r="E80" s="720"/>
      <c r="F80" s="720"/>
      <c r="G80" s="720"/>
      <c r="H80" s="720"/>
      <c r="I80" s="721"/>
    </row>
    <row r="81" spans="1:9" ht="15" customHeight="1" x14ac:dyDescent="0.3">
      <c r="A81" s="719"/>
      <c r="B81" s="720"/>
      <c r="C81" s="720"/>
      <c r="D81" s="720"/>
      <c r="E81" s="720"/>
      <c r="F81" s="720"/>
      <c r="G81" s="720"/>
      <c r="H81" s="720"/>
      <c r="I81" s="721"/>
    </row>
    <row r="82" spans="1:9" ht="15" customHeight="1" x14ac:dyDescent="0.3">
      <c r="A82" s="719"/>
      <c r="B82" s="720"/>
      <c r="C82" s="720"/>
      <c r="D82" s="720"/>
      <c r="E82" s="720"/>
      <c r="F82" s="720"/>
      <c r="G82" s="720"/>
      <c r="H82" s="720"/>
      <c r="I82" s="721"/>
    </row>
    <row r="83" spans="1:9" x14ac:dyDescent="0.3">
      <c r="A83" s="719"/>
      <c r="B83" s="720"/>
      <c r="C83" s="720"/>
      <c r="D83" s="720"/>
      <c r="E83" s="720"/>
      <c r="F83" s="720"/>
      <c r="G83" s="720"/>
      <c r="H83" s="720"/>
      <c r="I83" s="721"/>
    </row>
    <row r="84" spans="1:9" x14ac:dyDescent="0.3">
      <c r="A84" s="719"/>
      <c r="B84" s="720"/>
      <c r="C84" s="720"/>
      <c r="D84" s="720"/>
      <c r="E84" s="720"/>
      <c r="F84" s="720"/>
      <c r="G84" s="720"/>
      <c r="H84" s="720"/>
      <c r="I84" s="721"/>
    </row>
    <row r="85" spans="1:9" x14ac:dyDescent="0.3">
      <c r="A85" s="719"/>
      <c r="B85" s="720"/>
      <c r="C85" s="720"/>
      <c r="D85" s="720"/>
      <c r="E85" s="720"/>
      <c r="F85" s="720"/>
      <c r="G85" s="720"/>
      <c r="H85" s="720"/>
      <c r="I85" s="721"/>
    </row>
    <row r="86" spans="1:9" x14ac:dyDescent="0.3">
      <c r="A86" s="719"/>
      <c r="B86" s="720"/>
      <c r="C86" s="720"/>
      <c r="D86" s="720"/>
      <c r="E86" s="720"/>
      <c r="F86" s="720"/>
      <c r="G86" s="720"/>
      <c r="H86" s="720"/>
      <c r="I86" s="721"/>
    </row>
    <row r="87" spans="1:9" x14ac:dyDescent="0.3">
      <c r="A87" s="719"/>
      <c r="B87" s="720"/>
      <c r="C87" s="720"/>
      <c r="D87" s="720"/>
      <c r="E87" s="720"/>
      <c r="F87" s="720"/>
      <c r="G87" s="720"/>
      <c r="H87" s="720"/>
      <c r="I87" s="721"/>
    </row>
    <row r="88" spans="1:9" x14ac:dyDescent="0.3">
      <c r="A88" s="722"/>
      <c r="B88" s="723"/>
      <c r="C88" s="723"/>
      <c r="D88" s="723"/>
      <c r="E88" s="723"/>
      <c r="F88" s="723"/>
      <c r="G88" s="723"/>
      <c r="H88" s="723"/>
      <c r="I88" s="724"/>
    </row>
  </sheetData>
  <sheetProtection sheet="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32" priority="2" stopIfTrue="1" operator="greaterThan">
      <formula>$A$8</formula>
    </cfRule>
  </conditionalFormatting>
  <conditionalFormatting sqref="A11:B11">
    <cfRule type="cellIs" dxfId="31" priority="1" stopIfTrue="1" operator="lessThan">
      <formula>$A$8</formula>
    </cfRule>
  </conditionalFormatting>
  <conditionalFormatting sqref="C9">
    <cfRule type="cellIs" dxfId="30" priority="150" stopIfTrue="1" operator="equal">
      <formula>$K$8</formula>
    </cfRule>
  </conditionalFormatting>
  <conditionalFormatting sqref="C11">
    <cfRule type="cellIs" dxfId="29" priority="153" stopIfTrue="1" operator="equal">
      <formula>$K$9</formula>
    </cfRule>
    <cfRule type="cellIs" dxfId="28" priority="154" stopIfTrue="1" operator="equal">
      <formula>$K$10</formula>
    </cfRule>
  </conditionalFormatting>
  <dataValidations xWindow="800" yWindow="462"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display="mailto:Steve.s.passantino@dcbs.oregon.gov" xr:uid="{296C397A-62D5-46E0-8AD7-512D9666A972}"/>
    <hyperlink ref="E36" r:id="rId2" display="mailto:Christina.Scheungrab@dcbs.oregon.gov" xr:uid="{C73E80FF-0CAC-4ACF-A2AB-A5C38324701B}"/>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 x14ac:dyDescent="0.3"/>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3">
      <c r="B1" s="10" t="s">
        <v>1732</v>
      </c>
      <c r="J1" s="747" t="str">
        <f>IF('Start here'!A6="","",'Start here'!A6)</f>
        <v/>
      </c>
      <c r="K1" s="751"/>
      <c r="L1" s="751"/>
      <c r="M1" s="751"/>
      <c r="N1" s="751"/>
      <c r="O1" s="751"/>
      <c r="P1" s="751"/>
      <c r="Q1" s="751"/>
      <c r="R1" s="751"/>
      <c r="S1" s="751"/>
      <c r="T1" s="752"/>
      <c r="U1" s="6"/>
      <c r="V1" s="747" t="str">
        <f>IF('Start here'!A7="","",'Start here'!A7)</f>
        <v/>
      </c>
      <c r="W1" s="751"/>
      <c r="X1" s="751"/>
      <c r="Y1" s="751"/>
      <c r="Z1" s="751"/>
      <c r="AA1" s="751"/>
      <c r="AB1" s="751"/>
      <c r="AC1" s="751"/>
      <c r="AD1" s="751"/>
      <c r="AE1" s="751"/>
      <c r="AF1" s="751"/>
      <c r="AG1" s="751"/>
      <c r="AH1" s="752"/>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3">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row>
    <row r="3" spans="1:193" ht="21" customHeight="1" x14ac:dyDescent="0.4">
      <c r="B3" s="1491" t="s">
        <v>531</v>
      </c>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6"/>
      <c r="AJ3" s="6"/>
      <c r="AK3" s="6"/>
      <c r="AL3" s="245">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3">
      <c r="B4" s="910" t="s">
        <v>532</v>
      </c>
      <c r="C4" s="911"/>
      <c r="D4" s="911"/>
      <c r="E4" s="911"/>
      <c r="F4" s="911"/>
      <c r="G4" s="911"/>
      <c r="H4" s="911"/>
      <c r="I4" s="911"/>
      <c r="J4" s="911"/>
      <c r="K4" s="911"/>
      <c r="L4" s="911"/>
      <c r="M4" s="911"/>
      <c r="N4" s="911"/>
      <c r="O4" s="911"/>
      <c r="P4" s="911"/>
      <c r="Q4" s="912"/>
      <c r="R4" s="1156"/>
      <c r="S4" s="947" t="s">
        <v>467</v>
      </c>
      <c r="T4" s="947"/>
      <c r="U4" s="947"/>
      <c r="V4" s="947"/>
      <c r="W4" s="947"/>
      <c r="X4" s="947"/>
      <c r="Y4" s="947"/>
      <c r="Z4" s="947"/>
      <c r="AA4" s="947"/>
      <c r="AB4" s="947"/>
      <c r="AC4" s="947"/>
      <c r="AD4" s="947"/>
      <c r="AE4" s="947"/>
      <c r="AF4" s="947"/>
      <c r="AG4" s="947"/>
      <c r="AH4" s="947"/>
      <c r="AI4" s="6"/>
      <c r="AJ4" s="6"/>
      <c r="AK4" s="6"/>
      <c r="AL4" s="757" t="str">
        <f>IF(AM3&gt;=AL3,"Go to PPD Worksheet","")</f>
        <v/>
      </c>
      <c r="AM4" s="759"/>
      <c r="AN4" s="925" t="str">
        <f>IF(AM3&lt;AL3,"Go to PPD Worksheet","")</f>
        <v>Go to PPD Worksheet</v>
      </c>
      <c r="AO4" s="925"/>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x14ac:dyDescent="0.3">
      <c r="B5" s="776" t="s">
        <v>468</v>
      </c>
      <c r="C5" s="776"/>
      <c r="D5" s="776"/>
      <c r="E5" s="776"/>
      <c r="F5" s="776"/>
      <c r="G5" s="1214" t="str">
        <f>IF(AND(L67&gt;0,O7&gt;0),"Apportioned at the whole-eye level","(Enter English or Metric 6.)")</f>
        <v>(Enter English or Metric 6.)</v>
      </c>
      <c r="H5" s="1214"/>
      <c r="I5" s="1214"/>
      <c r="J5" s="1214"/>
      <c r="K5" s="1214"/>
      <c r="L5" s="1214"/>
      <c r="M5" s="1214"/>
      <c r="N5" s="1214"/>
      <c r="O5" s="1488" t="s">
        <v>1644</v>
      </c>
      <c r="P5" s="1489"/>
      <c r="Q5" s="1490"/>
      <c r="R5" s="1178"/>
      <c r="S5" s="776" t="s">
        <v>468</v>
      </c>
      <c r="T5" s="776"/>
      <c r="U5" s="776"/>
      <c r="V5" s="776"/>
      <c r="W5" s="776"/>
      <c r="X5" s="1214" t="s">
        <v>469</v>
      </c>
      <c r="Y5" s="1214"/>
      <c r="Z5" s="1214"/>
      <c r="AA5" s="1214"/>
      <c r="AB5" s="1214"/>
      <c r="AC5" s="1214"/>
      <c r="AD5" s="1214"/>
      <c r="AE5" s="1214"/>
      <c r="AF5" s="1488" t="s">
        <v>1644</v>
      </c>
      <c r="AG5" s="1489"/>
      <c r="AH5" s="1490"/>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thickBot="1" x14ac:dyDescent="0.35">
      <c r="B6" s="776" t="s">
        <v>1118</v>
      </c>
      <c r="C6" s="776"/>
      <c r="D6" s="776"/>
      <c r="E6" s="776"/>
      <c r="F6" s="776"/>
      <c r="G6" s="1018"/>
      <c r="H6" s="1018"/>
      <c r="I6" s="1018"/>
      <c r="J6" s="1018"/>
      <c r="K6" s="1018"/>
      <c r="L6" s="1018"/>
      <c r="M6" s="1018"/>
      <c r="N6" s="1018"/>
      <c r="O6" s="753">
        <f>IF(B8&lt;&gt;"","ERROR",AL9/100)</f>
        <v>0</v>
      </c>
      <c r="P6" s="754"/>
      <c r="Q6" s="755"/>
      <c r="R6" s="1178"/>
      <c r="S6" s="776" t="s">
        <v>1118</v>
      </c>
      <c r="T6" s="776"/>
      <c r="U6" s="776"/>
      <c r="V6" s="776"/>
      <c r="W6" s="776"/>
      <c r="X6" s="1018"/>
      <c r="Y6" s="1018"/>
      <c r="Z6" s="1018"/>
      <c r="AA6" s="1018"/>
      <c r="AB6" s="1018"/>
      <c r="AC6" s="1018"/>
      <c r="AD6" s="1018"/>
      <c r="AE6" s="1018"/>
      <c r="AF6" s="753">
        <f>IF(S8&lt;&gt;"","ERROR",AM9/100)</f>
        <v>0</v>
      </c>
      <c r="AG6" s="754"/>
      <c r="AH6" s="755"/>
      <c r="AI6" s="6"/>
      <c r="AJ6" s="6"/>
      <c r="AK6" s="6"/>
      <c r="AL6" s="92" t="s">
        <v>779</v>
      </c>
      <c r="AM6" s="92" t="s">
        <v>780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3">
      <c r="B7" s="806" t="s">
        <v>781</v>
      </c>
      <c r="C7" s="806"/>
      <c r="D7" s="806"/>
      <c r="E7" s="806"/>
      <c r="F7" s="806"/>
      <c r="G7" s="1018"/>
      <c r="H7" s="1018"/>
      <c r="I7" s="1018"/>
      <c r="J7" s="1018"/>
      <c r="K7" s="1018"/>
      <c r="L7" s="1018"/>
      <c r="M7" s="1018"/>
      <c r="N7" s="1018"/>
      <c r="O7" s="960"/>
      <c r="P7" s="1182"/>
      <c r="Q7" s="1183"/>
      <c r="R7" s="1178"/>
      <c r="S7" s="806" t="s">
        <v>781</v>
      </c>
      <c r="T7" s="806"/>
      <c r="U7" s="806"/>
      <c r="V7" s="806"/>
      <c r="W7" s="806"/>
      <c r="X7" s="1018"/>
      <c r="Y7" s="1018"/>
      <c r="Z7" s="1018"/>
      <c r="AA7" s="1018"/>
      <c r="AB7" s="1018"/>
      <c r="AC7" s="1018"/>
      <c r="AD7" s="1018"/>
      <c r="AE7" s="1018"/>
      <c r="AF7" s="960"/>
      <c r="AG7" s="1182"/>
      <c r="AH7" s="1183"/>
      <c r="AI7" s="6"/>
      <c r="AJ7" s="6"/>
      <c r="AK7" s="6"/>
      <c r="AL7" s="657">
        <f>SUMIF(C107:S107,G6,C108:S108)</f>
        <v>0</v>
      </c>
      <c r="AM7" s="658">
        <f>SUMIF(C107:S107,X6,C108:S108)</f>
        <v>0</v>
      </c>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x14ac:dyDescent="0.3">
      <c r="B8" s="1118" t="str">
        <f>IF(AND(G6&lt;&gt;"",G7&lt;&gt;""),"ERROR: Enter English or Metric, not both.","")</f>
        <v/>
      </c>
      <c r="C8" s="1118"/>
      <c r="D8" s="1118"/>
      <c r="E8" s="1118"/>
      <c r="F8" s="1118"/>
      <c r="G8" s="1118"/>
      <c r="H8" s="1118"/>
      <c r="I8" s="1118"/>
      <c r="J8" s="1118"/>
      <c r="K8" s="1118"/>
      <c r="L8" s="1118"/>
      <c r="M8" s="1118"/>
      <c r="N8" s="1118"/>
      <c r="O8" s="1485">
        <f>IF(B8&lt;&gt;"","ERROR",IF(O7="",O6,IF(AND(O7*AL9/100&gt;0,O7*AL9/100&lt;0.01),0.01,ROUND(O7*AL9/100,4))))</f>
        <v>0</v>
      </c>
      <c r="P8" s="1486"/>
      <c r="Q8" s="1487"/>
      <c r="R8" s="1178"/>
      <c r="S8" s="1118" t="str">
        <f>IF(AND(X6&lt;&gt;"",X7&lt;&gt;""),"ERROR: Enter English or Metric, not both.","")</f>
        <v/>
      </c>
      <c r="T8" s="1118"/>
      <c r="U8" s="1118"/>
      <c r="V8" s="1118"/>
      <c r="W8" s="1118"/>
      <c r="X8" s="1118"/>
      <c r="Y8" s="1118"/>
      <c r="Z8" s="1118"/>
      <c r="AA8" s="1118"/>
      <c r="AB8" s="1118"/>
      <c r="AC8" s="1118"/>
      <c r="AD8" s="1118"/>
      <c r="AE8" s="1118"/>
      <c r="AF8" s="1485">
        <f>IF(S8&lt;&gt;"","ERROR",IF(AF7="",AF6,IF(AND(AF7*AM9/100&gt;0,AF7*AM9/100&lt;0.01),0.01,ROUND(AF7*AM9/100,4))))</f>
        <v>0</v>
      </c>
      <c r="AG8" s="1486"/>
      <c r="AH8" s="1487"/>
      <c r="AI8" s="6"/>
      <c r="AJ8" s="6"/>
      <c r="AK8" s="6"/>
      <c r="AL8" s="659">
        <f>SUMIF(C109:S109,G7,C110:S110)</f>
        <v>0</v>
      </c>
      <c r="AM8" s="660">
        <f>SUMIF(C109:S109,X7,C110:S110)</f>
        <v>0</v>
      </c>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35">
      <c r="B9" s="806" t="s">
        <v>782</v>
      </c>
      <c r="C9" s="806"/>
      <c r="D9" s="806"/>
      <c r="E9" s="806"/>
      <c r="F9" s="806"/>
      <c r="G9" s="1258" t="s">
        <v>783</v>
      </c>
      <c r="H9" s="1258"/>
      <c r="I9" s="1258"/>
      <c r="J9" s="1258"/>
      <c r="K9" s="1258"/>
      <c r="L9" s="1258"/>
      <c r="M9" s="1258"/>
      <c r="N9" s="927"/>
      <c r="O9" s="1488" t="s">
        <v>1644</v>
      </c>
      <c r="P9" s="1489"/>
      <c r="Q9" s="1490"/>
      <c r="R9" s="1178"/>
      <c r="S9" s="806" t="s">
        <v>782</v>
      </c>
      <c r="T9" s="806"/>
      <c r="U9" s="806"/>
      <c r="V9" s="806"/>
      <c r="W9" s="806"/>
      <c r="X9" s="1258" t="s">
        <v>783</v>
      </c>
      <c r="Y9" s="1258"/>
      <c r="Z9" s="1258"/>
      <c r="AA9" s="1258"/>
      <c r="AB9" s="1258"/>
      <c r="AC9" s="1258"/>
      <c r="AD9" s="1258"/>
      <c r="AE9" s="927"/>
      <c r="AF9" s="1488" t="s">
        <v>1644</v>
      </c>
      <c r="AG9" s="1489"/>
      <c r="AH9" s="1490"/>
      <c r="AI9" s="6"/>
      <c r="AJ9" s="6"/>
      <c r="AK9" s="6"/>
      <c r="AL9" s="661">
        <f>AL7+AL8</f>
        <v>0</v>
      </c>
      <c r="AM9" s="662">
        <f>AM7+AM8</f>
        <v>0</v>
      </c>
      <c r="AN9" s="13" t="s">
        <v>779</v>
      </c>
      <c r="AO9" s="13" t="s">
        <v>780</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3">
      <c r="B10" s="806" t="s">
        <v>784</v>
      </c>
      <c r="C10" s="806"/>
      <c r="D10" s="806"/>
      <c r="E10" s="806"/>
      <c r="F10" s="806"/>
      <c r="G10" s="806"/>
      <c r="H10" s="806"/>
      <c r="I10" s="806"/>
      <c r="J10" s="708"/>
      <c r="K10" s="708"/>
      <c r="L10" s="708"/>
      <c r="M10" s="708"/>
      <c r="N10" s="708"/>
      <c r="O10" s="753">
        <f>IF(B13&lt;&gt;"","ERROR",AN13/100)</f>
        <v>0</v>
      </c>
      <c r="P10" s="754"/>
      <c r="Q10" s="755"/>
      <c r="R10" s="1178"/>
      <c r="S10" s="806" t="s">
        <v>784</v>
      </c>
      <c r="T10" s="806"/>
      <c r="U10" s="806"/>
      <c r="V10" s="806"/>
      <c r="W10" s="806"/>
      <c r="X10" s="806"/>
      <c r="Y10" s="806"/>
      <c r="Z10" s="806"/>
      <c r="AA10" s="708"/>
      <c r="AB10" s="708"/>
      <c r="AC10" s="708"/>
      <c r="AD10" s="708"/>
      <c r="AE10" s="708"/>
      <c r="AF10" s="753">
        <f>IF(S13&lt;&gt;"","ERROR",AO13/100)</f>
        <v>0</v>
      </c>
      <c r="AG10" s="754"/>
      <c r="AH10" s="755"/>
      <c r="AI10" s="6"/>
      <c r="AJ10" s="6"/>
      <c r="AK10" s="6"/>
      <c r="AL10" s="657">
        <f>IF(J10="",0,1)</f>
        <v>0</v>
      </c>
      <c r="AM10" s="658">
        <f>IF(AA10="",0,1)</f>
        <v>0</v>
      </c>
      <c r="AN10" s="657">
        <f>SUMIF(C111:P111,J10,C112:P112)</f>
        <v>0</v>
      </c>
      <c r="AO10" s="658">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3">
      <c r="B11" s="806" t="s">
        <v>785</v>
      </c>
      <c r="C11" s="806"/>
      <c r="D11" s="806"/>
      <c r="E11" s="806"/>
      <c r="F11" s="806"/>
      <c r="G11" s="806"/>
      <c r="H11" s="806"/>
      <c r="I11" s="806"/>
      <c r="J11" s="708"/>
      <c r="K11" s="708"/>
      <c r="L11" s="708"/>
      <c r="M11" s="708"/>
      <c r="N11" s="708"/>
      <c r="O11" s="960"/>
      <c r="P11" s="1182"/>
      <c r="Q11" s="1183"/>
      <c r="R11" s="1178"/>
      <c r="S11" s="806" t="s">
        <v>785</v>
      </c>
      <c r="T11" s="806"/>
      <c r="U11" s="806"/>
      <c r="V11" s="806"/>
      <c r="W11" s="806"/>
      <c r="X11" s="806"/>
      <c r="Y11" s="806"/>
      <c r="Z11" s="806"/>
      <c r="AA11" s="708"/>
      <c r="AB11" s="708"/>
      <c r="AC11" s="708"/>
      <c r="AD11" s="708"/>
      <c r="AE11" s="708"/>
      <c r="AF11" s="960"/>
      <c r="AG11" s="1182"/>
      <c r="AH11" s="1183"/>
      <c r="AI11" s="6"/>
      <c r="AJ11" s="6"/>
      <c r="AK11" s="6"/>
      <c r="AL11" s="659">
        <f>IF(J11="",0,1)</f>
        <v>0</v>
      </c>
      <c r="AM11" s="660">
        <f>IF(AA11="",0,1)</f>
        <v>0</v>
      </c>
      <c r="AN11" s="659">
        <f>SUMIF(C113:P113,J11,C114:P114)</f>
        <v>0</v>
      </c>
      <c r="AO11" s="660">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3">
      <c r="B12" s="806" t="s">
        <v>786</v>
      </c>
      <c r="C12" s="806"/>
      <c r="D12" s="806"/>
      <c r="E12" s="806"/>
      <c r="F12" s="806"/>
      <c r="G12" s="806"/>
      <c r="H12" s="806"/>
      <c r="I12" s="806"/>
      <c r="J12" s="708"/>
      <c r="K12" s="708"/>
      <c r="L12" s="708"/>
      <c r="M12" s="708"/>
      <c r="N12" s="708"/>
      <c r="O12" s="1485">
        <f>IF(B13&lt;&gt;"","ERROR",IF(O11="",O10,IF(AND(O11*AN13/100&gt;0,O11*AN13/100&lt;0.01),0.01,ROUND(O11*AN13/100,4))))</f>
        <v>0</v>
      </c>
      <c r="P12" s="1486"/>
      <c r="Q12" s="1487"/>
      <c r="R12" s="1178"/>
      <c r="S12" s="806" t="s">
        <v>786</v>
      </c>
      <c r="T12" s="806"/>
      <c r="U12" s="806"/>
      <c r="V12" s="806"/>
      <c r="W12" s="806"/>
      <c r="X12" s="806"/>
      <c r="Y12" s="806"/>
      <c r="Z12" s="806"/>
      <c r="AA12" s="708"/>
      <c r="AB12" s="708"/>
      <c r="AC12" s="708"/>
      <c r="AD12" s="708"/>
      <c r="AE12" s="708"/>
      <c r="AF12" s="1485">
        <f>IF(S13&lt;&gt;"","ERROR",IF(AF11="",AF10,IF(AND(AF11*AO13/100&gt;0,AF11*AO13/100&lt;0.01),0.01,ROUND(AF11*AO13/100,4))))</f>
        <v>0</v>
      </c>
      <c r="AG12" s="1486"/>
      <c r="AH12" s="1487"/>
      <c r="AI12" s="6"/>
      <c r="AJ12" s="6"/>
      <c r="AK12" s="6"/>
      <c r="AL12" s="659">
        <f>IF(J12="",0,1)</f>
        <v>0</v>
      </c>
      <c r="AM12" s="660">
        <f>IF(AA12="",0,1)</f>
        <v>0</v>
      </c>
      <c r="AN12" s="659">
        <f>SUMIF(C115:P115,J12,C116:P116)</f>
        <v>0</v>
      </c>
      <c r="AO12" s="660">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35">
      <c r="B13" s="1118" t="str">
        <f>IF(AL13&gt;1,"ERROR: Enter one near acuity measure only.","")</f>
        <v/>
      </c>
      <c r="C13" s="1118"/>
      <c r="D13" s="1118"/>
      <c r="E13" s="1118"/>
      <c r="F13" s="1118"/>
      <c r="G13" s="1118"/>
      <c r="H13" s="1118"/>
      <c r="I13" s="1118"/>
      <c r="J13" s="1118"/>
      <c r="K13" s="1118"/>
      <c r="L13" s="1118"/>
      <c r="M13" s="1118"/>
      <c r="N13" s="1118"/>
      <c r="O13" s="927"/>
      <c r="P13" s="927"/>
      <c r="Q13" s="927"/>
      <c r="R13" s="1178"/>
      <c r="S13" s="1118" t="str">
        <f>IF(AM13&gt;1,"ERROR: Enter one near acuity measure only.","")</f>
        <v/>
      </c>
      <c r="T13" s="1118"/>
      <c r="U13" s="1118"/>
      <c r="V13" s="1118"/>
      <c r="W13" s="1118"/>
      <c r="X13" s="1118"/>
      <c r="Y13" s="1118"/>
      <c r="Z13" s="1118"/>
      <c r="AA13" s="1118"/>
      <c r="AB13" s="1118"/>
      <c r="AC13" s="1118"/>
      <c r="AD13" s="1118"/>
      <c r="AE13" s="1118"/>
      <c r="AF13" s="927"/>
      <c r="AG13" s="927"/>
      <c r="AH13" s="927"/>
      <c r="AI13" s="6"/>
      <c r="AJ13" s="6"/>
      <c r="AK13" s="6"/>
      <c r="AL13" s="661">
        <f>SUM(AL10:AL12)</f>
        <v>0</v>
      </c>
      <c r="AM13" s="662">
        <f>SUM(AM10:AM12)</f>
        <v>0</v>
      </c>
      <c r="AN13" s="661">
        <f>SUM(AN10:AN12)</f>
        <v>0</v>
      </c>
      <c r="AO13" s="662">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3">
      <c r="B14" s="806" t="s">
        <v>1329</v>
      </c>
      <c r="C14" s="806"/>
      <c r="D14" s="806"/>
      <c r="E14" s="806"/>
      <c r="F14" s="806"/>
      <c r="G14" s="806"/>
      <c r="H14" s="806"/>
      <c r="I14" s="806"/>
      <c r="J14" s="806"/>
      <c r="K14" s="806"/>
      <c r="L14" s="806"/>
      <c r="M14" s="806"/>
      <c r="N14" s="806"/>
      <c r="O14" s="1484">
        <f>(O8+O12)/2</f>
        <v>0</v>
      </c>
      <c r="P14" s="1484"/>
      <c r="Q14" s="1484"/>
      <c r="R14" s="1178"/>
      <c r="S14" s="806" t="s">
        <v>1329</v>
      </c>
      <c r="T14" s="806"/>
      <c r="U14" s="806"/>
      <c r="V14" s="806"/>
      <c r="W14" s="806"/>
      <c r="X14" s="806"/>
      <c r="Y14" s="806"/>
      <c r="Z14" s="806"/>
      <c r="AA14" s="806"/>
      <c r="AB14" s="806"/>
      <c r="AC14" s="806"/>
      <c r="AD14" s="806"/>
      <c r="AE14" s="806"/>
      <c r="AF14" s="1484">
        <f>(AF8+AF12)/2</f>
        <v>0</v>
      </c>
      <c r="AG14" s="1484"/>
      <c r="AH14" s="1484"/>
      <c r="AI14" s="6"/>
      <c r="AJ14" s="6"/>
      <c r="AK14" s="6"/>
      <c r="AL14" s="6"/>
      <c r="AM14" s="657" t="s">
        <v>1291</v>
      </c>
      <c r="AN14" s="664" t="s">
        <v>220</v>
      </c>
      <c r="AO14" s="658" t="s">
        <v>1292</v>
      </c>
      <c r="AP14" s="657" t="s">
        <v>1293</v>
      </c>
      <c r="AQ14" s="670" t="s">
        <v>221</v>
      </c>
      <c r="AR14" s="658" t="s">
        <v>1294</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3">
      <c r="B15" s="806" t="s">
        <v>1295</v>
      </c>
      <c r="C15" s="806"/>
      <c r="D15" s="806"/>
      <c r="E15" s="806"/>
      <c r="F15" s="806"/>
      <c r="G15" s="806"/>
      <c r="H15" s="806"/>
      <c r="I15" s="806"/>
      <c r="J15" s="806"/>
      <c r="K15" s="806"/>
      <c r="L15" s="806"/>
      <c r="M15" s="806"/>
      <c r="N15" s="806"/>
      <c r="O15" s="1492">
        <f>IF(AL16=2,0.25,IF(AL16=3,0.5,0))</f>
        <v>0</v>
      </c>
      <c r="P15" s="1493"/>
      <c r="Q15" s="1494"/>
      <c r="R15" s="1178"/>
      <c r="S15" s="806" t="s">
        <v>1295</v>
      </c>
      <c r="T15" s="806"/>
      <c r="U15" s="806"/>
      <c r="V15" s="806"/>
      <c r="W15" s="806"/>
      <c r="X15" s="806"/>
      <c r="Y15" s="806"/>
      <c r="Z15" s="806"/>
      <c r="AA15" s="806"/>
      <c r="AB15" s="806"/>
      <c r="AC15" s="806"/>
      <c r="AD15" s="806"/>
      <c r="AE15" s="806"/>
      <c r="AF15" s="1484">
        <f>IF(AL17=2,0.25,IF(AL17=3,0.5,0))</f>
        <v>0</v>
      </c>
      <c r="AG15" s="1484"/>
      <c r="AH15" s="1484"/>
      <c r="AI15" s="6"/>
      <c r="AJ15" s="6"/>
      <c r="AK15" s="6"/>
      <c r="AL15" s="6"/>
      <c r="AM15" s="665">
        <f>LARGE(O14:O15,1)</f>
        <v>0</v>
      </c>
      <c r="AN15" s="408">
        <f>ROUND(AM15,2)</f>
        <v>0</v>
      </c>
      <c r="AO15" s="666">
        <f>ROUND(AN15+AN16*(1-AN15),2)</f>
        <v>0</v>
      </c>
      <c r="AP15" s="665">
        <f>LARGE(AF14:AF15,1)</f>
        <v>0</v>
      </c>
      <c r="AQ15" s="408">
        <f>ROUND(AP15,2)</f>
        <v>0</v>
      </c>
      <c r="AR15" s="666">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35">
      <c r="A16" s="15"/>
      <c r="B16" s="1439"/>
      <c r="C16" s="1439"/>
      <c r="D16" s="1439"/>
      <c r="E16" s="1439"/>
      <c r="F16" s="1439"/>
      <c r="G16" s="1439"/>
      <c r="H16" s="1439"/>
      <c r="I16" s="1439"/>
      <c r="J16" s="1439"/>
      <c r="K16" s="1439"/>
      <c r="L16" s="1439"/>
      <c r="M16" s="1439"/>
      <c r="N16" s="1439"/>
      <c r="O16" s="1495"/>
      <c r="P16" s="1496"/>
      <c r="Q16" s="1497"/>
      <c r="R16" s="1178"/>
      <c r="S16" s="1439"/>
      <c r="T16" s="1439"/>
      <c r="U16" s="1439"/>
      <c r="V16" s="1439"/>
      <c r="W16" s="1439"/>
      <c r="X16" s="1439"/>
      <c r="Y16" s="1439"/>
      <c r="Z16" s="1439"/>
      <c r="AA16" s="1439"/>
      <c r="AB16" s="1439"/>
      <c r="AC16" s="1439"/>
      <c r="AD16" s="1439"/>
      <c r="AE16" s="1439"/>
      <c r="AF16" s="1484"/>
      <c r="AG16" s="1484"/>
      <c r="AH16" s="1484"/>
      <c r="AI16" s="6"/>
      <c r="AJ16" s="6"/>
      <c r="AK16" s="6"/>
      <c r="AL16" s="663">
        <v>1</v>
      </c>
      <c r="AM16" s="667">
        <f>LARGE(O14:O15,2)</f>
        <v>0</v>
      </c>
      <c r="AN16" s="668">
        <f>ROUND(AM16,2)</f>
        <v>0</v>
      </c>
      <c r="AO16" s="669"/>
      <c r="AP16" s="667">
        <f>LARGE(AF14:AF15,2)</f>
        <v>0</v>
      </c>
      <c r="AQ16" s="668">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3">
      <c r="B17" s="776" t="s">
        <v>1296</v>
      </c>
      <c r="C17" s="776"/>
      <c r="D17" s="776"/>
      <c r="E17" s="776"/>
      <c r="F17" s="776"/>
      <c r="G17" s="776"/>
      <c r="H17" s="776"/>
      <c r="I17" s="776"/>
      <c r="J17" s="776"/>
      <c r="K17" s="776"/>
      <c r="L17" s="776"/>
      <c r="M17" s="776"/>
      <c r="N17" s="776"/>
      <c r="O17" s="1383">
        <f>IF(OR(O14=0,O15=0),SUM(O14,O15),AO15)</f>
        <v>0</v>
      </c>
      <c r="P17" s="1383"/>
      <c r="Q17" s="1383"/>
      <c r="R17" s="1137"/>
      <c r="S17" s="776" t="s">
        <v>1297</v>
      </c>
      <c r="T17" s="776"/>
      <c r="U17" s="776"/>
      <c r="V17" s="776"/>
      <c r="W17" s="776"/>
      <c r="X17" s="776"/>
      <c r="Y17" s="776"/>
      <c r="Z17" s="776"/>
      <c r="AA17" s="776"/>
      <c r="AB17" s="776"/>
      <c r="AC17" s="776"/>
      <c r="AD17" s="776"/>
      <c r="AE17" s="776"/>
      <c r="AF17" s="1383">
        <f>IF(OR(AF14=0,AF15=0),SUM(AF14,AF15),AR15)</f>
        <v>0</v>
      </c>
      <c r="AG17" s="1383"/>
      <c r="AH17" s="1383"/>
      <c r="AI17" s="6"/>
      <c r="AJ17" s="6"/>
      <c r="AK17" s="6"/>
      <c r="AL17" s="622">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3">
      <c r="B18" s="712"/>
      <c r="C18" s="712"/>
      <c r="D18" s="712"/>
      <c r="E18" s="712"/>
      <c r="F18" s="712"/>
      <c r="G18" s="712"/>
      <c r="H18" s="712"/>
      <c r="I18" s="712"/>
      <c r="J18" s="712"/>
      <c r="K18" s="712"/>
      <c r="L18" s="712"/>
      <c r="M18" s="712"/>
      <c r="N18" s="712"/>
      <c r="O18" s="712"/>
      <c r="P18" s="712"/>
      <c r="Q18" s="712"/>
      <c r="R18" s="712"/>
      <c r="S18" s="712"/>
      <c r="T18" s="712"/>
      <c r="U18" s="712"/>
      <c r="V18" s="712"/>
      <c r="W18" s="712"/>
      <c r="X18" s="712"/>
      <c r="Y18" s="712"/>
      <c r="Z18" s="712"/>
      <c r="AA18" s="712"/>
      <c r="AB18" s="712"/>
      <c r="AC18" s="712"/>
      <c r="AD18" s="712"/>
      <c r="AE18" s="712"/>
      <c r="AF18" s="712"/>
      <c r="AG18" s="712"/>
      <c r="AH18" s="712"/>
      <c r="AI18" s="6"/>
      <c r="AJ18" s="6"/>
      <c r="AK18" s="6"/>
      <c r="AL18" s="6"/>
      <c r="AM18" s="109"/>
      <c r="AN18" s="109"/>
      <c r="AO18" s="107"/>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3">
      <c r="B19" s="947" t="s">
        <v>265</v>
      </c>
      <c r="C19" s="947"/>
      <c r="D19" s="947"/>
      <c r="E19" s="947"/>
      <c r="F19" s="947"/>
      <c r="G19" s="947"/>
      <c r="H19" s="947"/>
      <c r="I19" s="947"/>
      <c r="J19" s="947"/>
      <c r="K19" s="947"/>
      <c r="L19" s="947"/>
      <c r="M19" s="947"/>
      <c r="N19" s="947"/>
      <c r="O19" s="947"/>
      <c r="P19" s="947"/>
      <c r="Q19" s="947"/>
      <c r="R19" s="1156"/>
      <c r="S19" s="947" t="s">
        <v>266</v>
      </c>
      <c r="T19" s="947"/>
      <c r="U19" s="947"/>
      <c r="V19" s="947"/>
      <c r="W19" s="947"/>
      <c r="X19" s="947"/>
      <c r="Y19" s="947"/>
      <c r="Z19" s="947"/>
      <c r="AA19" s="947"/>
      <c r="AB19" s="947"/>
      <c r="AC19" s="947"/>
      <c r="AD19" s="947"/>
      <c r="AE19" s="947"/>
      <c r="AF19" s="947"/>
      <c r="AG19" s="947"/>
      <c r="AH19" s="947"/>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3">
      <c r="A20" s="15"/>
      <c r="B20" s="930"/>
      <c r="C20" s="931"/>
      <c r="D20" s="771" t="s">
        <v>1838</v>
      </c>
      <c r="E20" s="772"/>
      <c r="F20" s="772"/>
      <c r="G20" s="772"/>
      <c r="H20" s="772"/>
      <c r="I20" s="772"/>
      <c r="J20" s="772"/>
      <c r="K20" s="772"/>
      <c r="L20" s="772"/>
      <c r="M20" s="772"/>
      <c r="N20" s="772"/>
      <c r="O20" s="772"/>
      <c r="P20" s="772"/>
      <c r="Q20" s="773"/>
      <c r="R20" s="1178"/>
      <c r="S20" s="930"/>
      <c r="T20" s="931"/>
      <c r="U20" s="771" t="s">
        <v>1838</v>
      </c>
      <c r="V20" s="772"/>
      <c r="W20" s="772"/>
      <c r="X20" s="772"/>
      <c r="Y20" s="772"/>
      <c r="Z20" s="772"/>
      <c r="AA20" s="772"/>
      <c r="AB20" s="772"/>
      <c r="AC20" s="772"/>
      <c r="AD20" s="772"/>
      <c r="AE20" s="772"/>
      <c r="AF20" s="772"/>
      <c r="AG20" s="772"/>
      <c r="AH20" s="773"/>
      <c r="AI20" s="6"/>
      <c r="AJ20" s="6"/>
      <c r="AK20" s="622" t="b">
        <v>0</v>
      </c>
      <c r="AL20" s="622" t="b">
        <v>0</v>
      </c>
      <c r="AM20" s="52" t="s">
        <v>267</v>
      </c>
      <c r="AN20" s="52" t="s">
        <v>268</v>
      </c>
      <c r="AO20" s="53" t="s">
        <v>269</v>
      </c>
      <c r="AP20" s="12" t="s">
        <v>270</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3">
      <c r="B21" s="806" t="s">
        <v>1749</v>
      </c>
      <c r="C21" s="806"/>
      <c r="D21" s="806"/>
      <c r="E21" s="806"/>
      <c r="F21" s="806"/>
      <c r="G21" s="806"/>
      <c r="H21" s="806"/>
      <c r="I21" s="806"/>
      <c r="J21" s="806"/>
      <c r="K21" s="708"/>
      <c r="L21" s="708"/>
      <c r="M21" s="708"/>
      <c r="N21" s="1258" t="s">
        <v>1750</v>
      </c>
      <c r="O21" s="1258"/>
      <c r="P21" s="1258"/>
      <c r="Q21" s="1258"/>
      <c r="R21" s="1178"/>
      <c r="S21" s="806" t="s">
        <v>1749</v>
      </c>
      <c r="T21" s="806"/>
      <c r="U21" s="806"/>
      <c r="V21" s="806"/>
      <c r="W21" s="806"/>
      <c r="X21" s="806"/>
      <c r="Y21" s="806"/>
      <c r="Z21" s="806"/>
      <c r="AA21" s="806"/>
      <c r="AB21" s="708"/>
      <c r="AC21" s="708"/>
      <c r="AD21" s="708"/>
      <c r="AE21" s="1258" t="s">
        <v>1750</v>
      </c>
      <c r="AF21" s="1258"/>
      <c r="AG21" s="1258"/>
      <c r="AH21" s="1258"/>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3">
      <c r="B22" s="833" t="s">
        <v>1121</v>
      </c>
      <c r="C22" s="713"/>
      <c r="D22" s="713"/>
      <c r="E22" s="713"/>
      <c r="F22" s="713"/>
      <c r="G22" s="713"/>
      <c r="H22" s="713"/>
      <c r="I22" s="713"/>
      <c r="J22" s="713"/>
      <c r="K22" s="713"/>
      <c r="L22" s="713"/>
      <c r="M22" s="713"/>
      <c r="N22" s="713"/>
      <c r="O22" s="713"/>
      <c r="P22" s="713"/>
      <c r="Q22" s="713"/>
      <c r="R22" s="713"/>
      <c r="S22" s="713"/>
      <c r="T22" s="713"/>
      <c r="U22" s="713"/>
      <c r="V22" s="713"/>
      <c r="W22" s="713"/>
      <c r="X22" s="713"/>
      <c r="Y22" s="713"/>
      <c r="Z22" s="713"/>
      <c r="AA22" s="713"/>
      <c r="AB22" s="713"/>
      <c r="AC22" s="713"/>
      <c r="AD22" s="713"/>
      <c r="AE22" s="713"/>
      <c r="AF22" s="713"/>
      <c r="AG22" s="713"/>
      <c r="AH22" s="834"/>
      <c r="AI22" s="6"/>
      <c r="AJ22" s="6"/>
      <c r="AK22" s="6"/>
      <c r="AL22" s="1483" t="s">
        <v>1751</v>
      </c>
      <c r="AM22" s="1483"/>
      <c r="AN22" s="1483" t="s">
        <v>1331</v>
      </c>
      <c r="AO22" s="1483"/>
      <c r="AP22" s="123"/>
      <c r="AQ22" s="123"/>
      <c r="AR22" s="1473" t="s">
        <v>1332</v>
      </c>
      <c r="AS22" s="1473"/>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3">
      <c r="B23" s="806" t="s">
        <v>1333</v>
      </c>
      <c r="C23" s="806"/>
      <c r="D23" s="806"/>
      <c r="E23" s="806"/>
      <c r="F23" s="806"/>
      <c r="G23" s="806"/>
      <c r="H23" s="745"/>
      <c r="I23" s="892"/>
      <c r="J23" s="835"/>
      <c r="K23" s="1379" t="str">
        <f>IF(AK21=1,85,IF(AL23&lt;&gt;"",AL23,IF(H23&gt;85,85,IF(H23="","",H23))))</f>
        <v/>
      </c>
      <c r="L23" s="1379"/>
      <c r="M23" s="1379"/>
      <c r="N23" s="927" t="s">
        <v>1753</v>
      </c>
      <c r="O23" s="927"/>
      <c r="P23" s="927"/>
      <c r="Q23" s="927"/>
      <c r="R23" s="1178"/>
      <c r="S23" s="806" t="s">
        <v>1333</v>
      </c>
      <c r="T23" s="806"/>
      <c r="U23" s="806"/>
      <c r="V23" s="806"/>
      <c r="W23" s="806"/>
      <c r="X23" s="806"/>
      <c r="Y23" s="745"/>
      <c r="Z23" s="892"/>
      <c r="AA23" s="835"/>
      <c r="AB23" s="1379" t="str">
        <f>IF(AL21=1,85,IF(AN23&lt;&gt;"",AN23,IF(Y23&gt;85,85,IF(Y23="","",Y23))))</f>
        <v/>
      </c>
      <c r="AC23" s="1379"/>
      <c r="AD23" s="1379"/>
      <c r="AE23" s="984" t="s">
        <v>1753</v>
      </c>
      <c r="AF23" s="985"/>
      <c r="AG23" s="985"/>
      <c r="AH23" s="986"/>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3">
      <c r="B24" s="806" t="s">
        <v>1754</v>
      </c>
      <c r="C24" s="806"/>
      <c r="D24" s="806"/>
      <c r="E24" s="806"/>
      <c r="F24" s="806"/>
      <c r="G24" s="806"/>
      <c r="H24" s="745"/>
      <c r="I24" s="892"/>
      <c r="J24" s="835"/>
      <c r="K24" s="1379" t="str">
        <f>IF(AK21=1,85,IF(AL24&lt;&gt;"",AL24,IF(H24&gt;85,85,IF(H24="","",H24))))</f>
        <v/>
      </c>
      <c r="L24" s="1379"/>
      <c r="M24" s="1379"/>
      <c r="N24" s="927"/>
      <c r="O24" s="927"/>
      <c r="P24" s="927"/>
      <c r="Q24" s="927"/>
      <c r="R24" s="1178"/>
      <c r="S24" s="806" t="s">
        <v>1754</v>
      </c>
      <c r="T24" s="806"/>
      <c r="U24" s="806"/>
      <c r="V24" s="806"/>
      <c r="W24" s="806"/>
      <c r="X24" s="806"/>
      <c r="Y24" s="745"/>
      <c r="Z24" s="892"/>
      <c r="AA24" s="835"/>
      <c r="AB24" s="1379" t="str">
        <f>IF(AL21=1,85,IF(AN24&lt;&gt;"",AN24,IF(Y24&gt;85,85,IF(Y24="","",Y24))))</f>
        <v/>
      </c>
      <c r="AC24" s="1379"/>
      <c r="AD24" s="1379"/>
      <c r="AE24" s="989"/>
      <c r="AF24" s="990"/>
      <c r="AG24" s="990"/>
      <c r="AH24" s="991"/>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3">
      <c r="B25" s="806" t="s">
        <v>1755</v>
      </c>
      <c r="C25" s="806"/>
      <c r="D25" s="806"/>
      <c r="E25" s="806"/>
      <c r="F25" s="806"/>
      <c r="G25" s="806"/>
      <c r="H25" s="745"/>
      <c r="I25" s="892"/>
      <c r="J25" s="835"/>
      <c r="K25" s="1379" t="str">
        <f>IF(AK21=1,65,IF(AL25&lt;&gt;"",AL25,IF(H25&gt;65,65,IF(H25="","",H25))))</f>
        <v/>
      </c>
      <c r="L25" s="1379"/>
      <c r="M25" s="1379"/>
      <c r="N25" s="1018"/>
      <c r="O25" s="1018"/>
      <c r="P25" s="1018"/>
      <c r="Q25" s="1018"/>
      <c r="R25" s="1178"/>
      <c r="S25" s="806" t="s">
        <v>1755</v>
      </c>
      <c r="T25" s="806"/>
      <c r="U25" s="806"/>
      <c r="V25" s="806"/>
      <c r="W25" s="806"/>
      <c r="X25" s="806"/>
      <c r="Y25" s="745"/>
      <c r="Z25" s="892"/>
      <c r="AA25" s="835"/>
      <c r="AB25" s="1379" t="str">
        <f>IF(AL21=1,65,IF(AN25&lt;&gt;"",AN25,IF(Y25&gt;65,65,IF(Y25="","",Y25))))</f>
        <v/>
      </c>
      <c r="AC25" s="1379"/>
      <c r="AD25" s="1379"/>
      <c r="AE25" s="1018"/>
      <c r="AF25" s="1018"/>
      <c r="AG25" s="1018"/>
      <c r="AH25" s="1018"/>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3">
      <c r="B26" s="806" t="s">
        <v>394</v>
      </c>
      <c r="C26" s="806"/>
      <c r="D26" s="806"/>
      <c r="E26" s="806"/>
      <c r="F26" s="806"/>
      <c r="G26" s="806"/>
      <c r="H26" s="745"/>
      <c r="I26" s="892"/>
      <c r="J26" s="835"/>
      <c r="K26" s="1379" t="str">
        <f>IF(AK21=1,50,IF(AL26&lt;&gt;"",AL26,IF(H26&gt;50,50,IF(H26="","",H26))))</f>
        <v/>
      </c>
      <c r="L26" s="1379"/>
      <c r="M26" s="1379"/>
      <c r="N26" s="1474" t="str">
        <f>IF(AND(AM21&gt;0,K32&lt;&gt;""),AL33,IF(AM32&gt;0,AM33,IF(OR(AP30=K31,AR32=1),AN33,"")))</f>
        <v/>
      </c>
      <c r="O26" s="1475"/>
      <c r="P26" s="1475"/>
      <c r="Q26" s="1476"/>
      <c r="R26" s="1178"/>
      <c r="S26" s="806" t="s">
        <v>394</v>
      </c>
      <c r="T26" s="806"/>
      <c r="U26" s="806"/>
      <c r="V26" s="806"/>
      <c r="W26" s="806"/>
      <c r="X26" s="806"/>
      <c r="Y26" s="745"/>
      <c r="Z26" s="892"/>
      <c r="AA26" s="835"/>
      <c r="AB26" s="1379" t="str">
        <f>IF(AL21=1,50,IF(AN26&lt;&gt;"",AN26,IF(Y26&gt;50,50,IF(Y26="","",Y26))))</f>
        <v/>
      </c>
      <c r="AC26" s="1379"/>
      <c r="AD26" s="1379"/>
      <c r="AE26" s="1474" t="str">
        <f>IF(AND(AN21&gt;0,AB32&lt;&gt;""),AL33,IF(AO32&gt;0,AM33,IF(OR(AQ30=AB31,AS32=1),AN33,"")))</f>
        <v/>
      </c>
      <c r="AF26" s="1475"/>
      <c r="AG26" s="1475"/>
      <c r="AH26" s="1476"/>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3">
      <c r="B27" s="806" t="s">
        <v>395</v>
      </c>
      <c r="C27" s="806"/>
      <c r="D27" s="806"/>
      <c r="E27" s="806"/>
      <c r="F27" s="806"/>
      <c r="G27" s="806"/>
      <c r="H27" s="745"/>
      <c r="I27" s="892"/>
      <c r="J27" s="835"/>
      <c r="K27" s="1379" t="str">
        <f>IF(AK21=1,60,IF(AL27&lt;&gt;"",AL27,IF(H27&gt;60,60,IF(H27="","",H27))))</f>
        <v/>
      </c>
      <c r="L27" s="1379"/>
      <c r="M27" s="1379"/>
      <c r="N27" s="1477"/>
      <c r="O27" s="1478"/>
      <c r="P27" s="1478"/>
      <c r="Q27" s="1479"/>
      <c r="R27" s="1178"/>
      <c r="S27" s="806" t="s">
        <v>395</v>
      </c>
      <c r="T27" s="806"/>
      <c r="U27" s="806"/>
      <c r="V27" s="806"/>
      <c r="W27" s="806"/>
      <c r="X27" s="806"/>
      <c r="Y27" s="745"/>
      <c r="Z27" s="892"/>
      <c r="AA27" s="835"/>
      <c r="AB27" s="1379" t="str">
        <f>IF(AL21=1,60,IF(AN27&lt;&gt;"",AN27,IF(Y27&gt;60,60,IF(Y27="","",Y27))))</f>
        <v/>
      </c>
      <c r="AC27" s="1379"/>
      <c r="AD27" s="1379"/>
      <c r="AE27" s="1477"/>
      <c r="AF27" s="1478"/>
      <c r="AG27" s="1478"/>
      <c r="AH27" s="1479"/>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3">
      <c r="B28" s="806" t="s">
        <v>396</v>
      </c>
      <c r="C28" s="806"/>
      <c r="D28" s="806"/>
      <c r="E28" s="806"/>
      <c r="F28" s="806"/>
      <c r="G28" s="806"/>
      <c r="H28" s="745"/>
      <c r="I28" s="892"/>
      <c r="J28" s="835"/>
      <c r="K28" s="1379" t="str">
        <f>IF(AK21=1,55,IF(AL28&lt;&gt;"",AL28,IF(H28&gt;55,55,IF(H28="","",H28))))</f>
        <v/>
      </c>
      <c r="L28" s="1379"/>
      <c r="M28" s="1379"/>
      <c r="N28" s="1477"/>
      <c r="O28" s="1478"/>
      <c r="P28" s="1478"/>
      <c r="Q28" s="1479"/>
      <c r="R28" s="1178"/>
      <c r="S28" s="806" t="s">
        <v>396</v>
      </c>
      <c r="T28" s="806"/>
      <c r="U28" s="806"/>
      <c r="V28" s="806"/>
      <c r="W28" s="806"/>
      <c r="X28" s="806"/>
      <c r="Y28" s="745"/>
      <c r="Z28" s="892"/>
      <c r="AA28" s="835"/>
      <c r="AB28" s="1379" t="str">
        <f>IF(AL21=1,55,IF(AN28&lt;&gt;"",AN28,IF(Y28&gt;55,55,IF(Y28="","",Y28))))</f>
        <v/>
      </c>
      <c r="AC28" s="1379"/>
      <c r="AD28" s="1379"/>
      <c r="AE28" s="1477"/>
      <c r="AF28" s="1478"/>
      <c r="AG28" s="1478"/>
      <c r="AH28" s="1479"/>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3">
      <c r="B29" s="806" t="s">
        <v>397</v>
      </c>
      <c r="C29" s="806"/>
      <c r="D29" s="806"/>
      <c r="E29" s="806"/>
      <c r="F29" s="806"/>
      <c r="G29" s="806"/>
      <c r="H29" s="745"/>
      <c r="I29" s="892"/>
      <c r="J29" s="835"/>
      <c r="K29" s="1379" t="str">
        <f>IF(AK21=1,45,IF(AL29&lt;&gt;"",AL29,IF(H29&gt;45,45,IF(H29="","",H29))))</f>
        <v/>
      </c>
      <c r="L29" s="1379"/>
      <c r="M29" s="1379"/>
      <c r="N29" s="1477"/>
      <c r="O29" s="1478"/>
      <c r="P29" s="1478"/>
      <c r="Q29" s="1479"/>
      <c r="R29" s="1178"/>
      <c r="S29" s="806" t="s">
        <v>397</v>
      </c>
      <c r="T29" s="806"/>
      <c r="U29" s="806"/>
      <c r="V29" s="806"/>
      <c r="W29" s="806"/>
      <c r="X29" s="806"/>
      <c r="Y29" s="745"/>
      <c r="Z29" s="892"/>
      <c r="AA29" s="835"/>
      <c r="AB29" s="1379" t="str">
        <f>IF(AL21=1,45,IF(AN29&lt;&gt;"",AN29,IF(Y29&gt;45,45,IF(Y29="","",Y29))))</f>
        <v/>
      </c>
      <c r="AC29" s="1379"/>
      <c r="AD29" s="1379"/>
      <c r="AE29" s="1477"/>
      <c r="AF29" s="1478"/>
      <c r="AG29" s="1478"/>
      <c r="AH29" s="1479"/>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73" t="s">
        <v>398</v>
      </c>
      <c r="AQ29" s="1501"/>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3">
      <c r="B30" s="806" t="s">
        <v>399</v>
      </c>
      <c r="C30" s="806"/>
      <c r="D30" s="806"/>
      <c r="E30" s="806"/>
      <c r="F30" s="806"/>
      <c r="G30" s="806"/>
      <c r="H30" s="745"/>
      <c r="I30" s="892"/>
      <c r="J30" s="835"/>
      <c r="K30" s="1379" t="str">
        <f>IF(AK21=1,55,IF(AL30&lt;&gt;"",AL30,IF(H30&gt;55,55,IF(H30="","",H30))))</f>
        <v/>
      </c>
      <c r="L30" s="1379"/>
      <c r="M30" s="1379"/>
      <c r="N30" s="1477"/>
      <c r="O30" s="1478"/>
      <c r="P30" s="1478"/>
      <c r="Q30" s="1479"/>
      <c r="R30" s="1178"/>
      <c r="S30" s="806" t="s">
        <v>399</v>
      </c>
      <c r="T30" s="806"/>
      <c r="U30" s="806"/>
      <c r="V30" s="806"/>
      <c r="W30" s="806"/>
      <c r="X30" s="806"/>
      <c r="Y30" s="745"/>
      <c r="Z30" s="892"/>
      <c r="AA30" s="835"/>
      <c r="AB30" s="1379" t="str">
        <f>IF(AL21=1,55,IF(AN30&lt;&gt;"",AN30,IF(Y30&gt;55,55,IF(Y30="","",Y30))))</f>
        <v/>
      </c>
      <c r="AC30" s="1379"/>
      <c r="AD30" s="1379"/>
      <c r="AE30" s="1477"/>
      <c r="AF30" s="1478"/>
      <c r="AG30" s="1478"/>
      <c r="AH30" s="1479"/>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4">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3">
      <c r="B31" s="757" t="s">
        <v>400</v>
      </c>
      <c r="C31" s="758"/>
      <c r="D31" s="758"/>
      <c r="E31" s="758"/>
      <c r="F31" s="758"/>
      <c r="G31" s="759"/>
      <c r="H31" s="745"/>
      <c r="I31" s="892"/>
      <c r="J31" s="835"/>
      <c r="K31" s="1392" t="str">
        <f>IF(OR(H31="",H31=0),"",H31)</f>
        <v/>
      </c>
      <c r="L31" s="1393"/>
      <c r="M31" s="1394"/>
      <c r="N31" s="1477"/>
      <c r="O31" s="1478"/>
      <c r="P31" s="1478"/>
      <c r="Q31" s="1479"/>
      <c r="R31" s="1178"/>
      <c r="S31" s="757" t="s">
        <v>400</v>
      </c>
      <c r="T31" s="758"/>
      <c r="U31" s="758"/>
      <c r="V31" s="758"/>
      <c r="W31" s="758"/>
      <c r="X31" s="759"/>
      <c r="Y31" s="745"/>
      <c r="Z31" s="892"/>
      <c r="AA31" s="835"/>
      <c r="AB31" s="1392" t="str">
        <f>IF(OR(Y31="",Y31=0),"",Y31)</f>
        <v/>
      </c>
      <c r="AC31" s="1393"/>
      <c r="AD31" s="1394"/>
      <c r="AE31" s="1477"/>
      <c r="AF31" s="1478"/>
      <c r="AG31" s="1478"/>
      <c r="AH31" s="1479"/>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3">
      <c r="B32" s="922" t="s">
        <v>401</v>
      </c>
      <c r="C32" s="926"/>
      <c r="D32" s="926"/>
      <c r="E32" s="926"/>
      <c r="F32" s="926"/>
      <c r="G32" s="926"/>
      <c r="H32" s="926"/>
      <c r="I32" s="926"/>
      <c r="J32" s="923"/>
      <c r="K32" s="1392" t="str">
        <f>IF(AND(K23="",K24="",K25="",K26="",K27="",K28="",K29="",K30="",K31=""),"",IF(AP30&lt;0,0,SUM(K23:K31)))</f>
        <v/>
      </c>
      <c r="L32" s="1393"/>
      <c r="M32" s="1394"/>
      <c r="N32" s="1480"/>
      <c r="O32" s="1481"/>
      <c r="P32" s="1481"/>
      <c r="Q32" s="1482"/>
      <c r="R32" s="1178"/>
      <c r="S32" s="922" t="s">
        <v>401</v>
      </c>
      <c r="T32" s="926"/>
      <c r="U32" s="926"/>
      <c r="V32" s="926"/>
      <c r="W32" s="926"/>
      <c r="X32" s="926"/>
      <c r="Y32" s="926"/>
      <c r="Z32" s="926"/>
      <c r="AA32" s="923"/>
      <c r="AB32" s="1392" t="str">
        <f>IF(AND(AB23="",AB24="",AB25="",AB26="",AB27="",AB28="",AB29="",AB30="",AB31=""),"",IF(AQ30&lt;0,0,SUM(AB23:AB31)))</f>
        <v/>
      </c>
      <c r="AC32" s="1393"/>
      <c r="AD32" s="1394"/>
      <c r="AE32" s="1480"/>
      <c r="AF32" s="1478"/>
      <c r="AG32" s="1478"/>
      <c r="AH32" s="1479"/>
      <c r="AI32" s="6"/>
      <c r="AJ32" s="6"/>
      <c r="AK32" s="6"/>
      <c r="AL32" s="13"/>
      <c r="AM32" s="56">
        <f>SUM(AM23:AM31)</f>
        <v>0</v>
      </c>
      <c r="AN32" s="13"/>
      <c r="AO32" s="56">
        <f>SUM(AO23:AO31)</f>
        <v>0</v>
      </c>
      <c r="AP32" s="5"/>
      <c r="AQ32" s="5"/>
      <c r="AR32" s="13">
        <f>IF(AND(AR31&gt;0,AR31&lt;8),1,0)</f>
        <v>0</v>
      </c>
      <c r="AS32" s="13">
        <f>IF(AND(AS31&gt;0,AS31&lt;8),1,0)</f>
        <v>0</v>
      </c>
      <c r="AT32" s="10" t="s">
        <v>402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3">
      <c r="B33" s="1498" t="s">
        <v>403</v>
      </c>
      <c r="C33" s="1499"/>
      <c r="D33" s="1499"/>
      <c r="E33" s="1499"/>
      <c r="F33" s="1499"/>
      <c r="G33" s="1499"/>
      <c r="H33" s="1499"/>
      <c r="I33" s="1499"/>
      <c r="J33" s="1499"/>
      <c r="K33" s="1499"/>
      <c r="L33" s="1499"/>
      <c r="M33" s="1499"/>
      <c r="N33" s="1500"/>
      <c r="O33" s="1485">
        <f>IF(AND(K31&lt;0,K32=0),"ERROR",IF(N26=AL33,"ERROR",AM21+AO21))</f>
        <v>0</v>
      </c>
      <c r="P33" s="1486"/>
      <c r="Q33" s="1487"/>
      <c r="R33" s="1137"/>
      <c r="S33" s="1498" t="s">
        <v>403</v>
      </c>
      <c r="T33" s="1499"/>
      <c r="U33" s="1499"/>
      <c r="V33" s="1499"/>
      <c r="W33" s="1499"/>
      <c r="X33" s="1499"/>
      <c r="Y33" s="1499"/>
      <c r="Z33" s="1499"/>
      <c r="AA33" s="1499"/>
      <c r="AB33" s="1499"/>
      <c r="AC33" s="1499"/>
      <c r="AD33" s="1499"/>
      <c r="AE33" s="1500"/>
      <c r="AF33" s="1384">
        <f>IF(AND(AB31&lt;0,AB32=0),"ERROR",IF(AE26=AL33,"ERROR",AN21+AP21))</f>
        <v>0</v>
      </c>
      <c r="AG33" s="1385"/>
      <c r="AH33" s="1386"/>
      <c r="AI33" s="6"/>
      <c r="AJ33" s="6"/>
      <c r="AK33" s="6"/>
      <c r="AL33" s="50" t="s">
        <v>404</v>
      </c>
      <c r="AM33" s="557" t="s">
        <v>613</v>
      </c>
      <c r="AN33" s="557" t="s">
        <v>1677</v>
      </c>
      <c r="AO33" s="107"/>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3">
      <c r="B34" s="712"/>
      <c r="C34" s="712"/>
      <c r="D34" s="712"/>
      <c r="E34" s="712"/>
      <c r="F34" s="712"/>
      <c r="G34" s="712"/>
      <c r="H34" s="712"/>
      <c r="I34" s="712"/>
      <c r="J34" s="712"/>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6"/>
      <c r="AJ34" s="6"/>
      <c r="AK34" s="6"/>
      <c r="AL34" s="6"/>
      <c r="AM34" s="109"/>
      <c r="AN34" s="109"/>
      <c r="AO34" s="107"/>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3">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6"/>
      <c r="AJ35" s="6"/>
      <c r="AK35" s="6"/>
      <c r="AL35" s="6"/>
      <c r="AM35" s="109"/>
      <c r="AN35" s="109"/>
      <c r="AO35" s="107"/>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3">
      <c r="B36" s="947" t="s">
        <v>280</v>
      </c>
      <c r="C36" s="947"/>
      <c r="D36" s="947"/>
      <c r="E36" s="947"/>
      <c r="F36" s="947"/>
      <c r="G36" s="947"/>
      <c r="H36" s="947"/>
      <c r="I36" s="947"/>
      <c r="J36" s="947"/>
      <c r="K36" s="947"/>
      <c r="L36" s="947"/>
      <c r="M36" s="947"/>
      <c r="N36" s="947"/>
      <c r="O36" s="947"/>
      <c r="P36" s="947"/>
      <c r="Q36" s="947"/>
      <c r="R36" s="57"/>
      <c r="S36" s="947" t="s">
        <v>281</v>
      </c>
      <c r="T36" s="947"/>
      <c r="U36" s="947"/>
      <c r="V36" s="947"/>
      <c r="W36" s="947"/>
      <c r="X36" s="947"/>
      <c r="Y36" s="947"/>
      <c r="Z36" s="947"/>
      <c r="AA36" s="947"/>
      <c r="AB36" s="947"/>
      <c r="AC36" s="947"/>
      <c r="AD36" s="947"/>
      <c r="AE36" s="947"/>
      <c r="AF36" s="947"/>
      <c r="AG36" s="947"/>
      <c r="AH36" s="947"/>
      <c r="AI36" s="6"/>
      <c r="AJ36" s="6"/>
      <c r="AK36" s="6"/>
      <c r="AL36" s="6"/>
      <c r="AM36" s="109"/>
      <c r="AN36" s="109"/>
      <c r="AO36" s="107"/>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3">
      <c r="B37" s="776" t="s">
        <v>282</v>
      </c>
      <c r="C37" s="776"/>
      <c r="D37" s="776"/>
      <c r="E37" s="776"/>
      <c r="F37" s="776"/>
      <c r="G37" s="776"/>
      <c r="H37" s="776"/>
      <c r="I37" s="776"/>
      <c r="J37" s="776"/>
      <c r="K37" s="776"/>
      <c r="L37" s="776"/>
      <c r="M37" s="776"/>
      <c r="N37" s="776"/>
      <c r="O37" s="776"/>
      <c r="P37" s="776"/>
      <c r="Q37" s="776"/>
      <c r="R37" s="57"/>
      <c r="S37" s="776" t="s">
        <v>282</v>
      </c>
      <c r="T37" s="776"/>
      <c r="U37" s="776"/>
      <c r="V37" s="776"/>
      <c r="W37" s="776"/>
      <c r="X37" s="776"/>
      <c r="Y37" s="776"/>
      <c r="Z37" s="776"/>
      <c r="AA37" s="776"/>
      <c r="AB37" s="776"/>
      <c r="AC37" s="776"/>
      <c r="AD37" s="776"/>
      <c r="AE37" s="776"/>
      <c r="AF37" s="776"/>
      <c r="AG37" s="776"/>
      <c r="AH37" s="776"/>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3">
      <c r="B38" s="987" t="s">
        <v>283</v>
      </c>
      <c r="C38" s="712"/>
      <c r="D38" s="712"/>
      <c r="E38" s="712"/>
      <c r="F38" s="987" t="s">
        <v>284</v>
      </c>
      <c r="G38" s="712"/>
      <c r="H38" s="712"/>
      <c r="I38" s="712"/>
      <c r="J38" s="712"/>
      <c r="K38" s="712"/>
      <c r="L38" s="712"/>
      <c r="M38" s="712"/>
      <c r="N38" s="712"/>
      <c r="O38" s="927"/>
      <c r="P38" s="927"/>
      <c r="Q38" s="927"/>
      <c r="R38" s="57"/>
      <c r="S38" s="927" t="s">
        <v>283</v>
      </c>
      <c r="T38" s="927"/>
      <c r="U38" s="927"/>
      <c r="V38" s="927"/>
      <c r="W38" s="927" t="s">
        <v>284</v>
      </c>
      <c r="X38" s="927"/>
      <c r="Y38" s="927"/>
      <c r="Z38" s="927"/>
      <c r="AA38" s="927"/>
      <c r="AB38" s="927"/>
      <c r="AC38" s="927"/>
      <c r="AD38" s="927"/>
      <c r="AE38" s="927"/>
      <c r="AF38" s="927"/>
      <c r="AG38" s="927"/>
      <c r="AH38" s="927"/>
      <c r="AI38" s="6"/>
      <c r="AJ38" s="6"/>
      <c r="AK38" s="6"/>
      <c r="AL38" s="320" t="s">
        <v>2196</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3">
      <c r="B39" s="806" t="s">
        <v>285</v>
      </c>
      <c r="C39" s="806"/>
      <c r="D39" s="806"/>
      <c r="E39" s="806"/>
      <c r="F39" s="935"/>
      <c r="G39" s="935"/>
      <c r="H39" s="935"/>
      <c r="I39" s="935"/>
      <c r="J39" s="935"/>
      <c r="K39" s="935"/>
      <c r="L39" s="935"/>
      <c r="M39" s="935"/>
      <c r="N39" s="960"/>
      <c r="O39" s="936">
        <f>IF(F39=AL39,1,0)</f>
        <v>0</v>
      </c>
      <c r="P39" s="936"/>
      <c r="Q39" s="936"/>
      <c r="R39" s="57"/>
      <c r="S39" s="806" t="s">
        <v>285</v>
      </c>
      <c r="T39" s="806"/>
      <c r="U39" s="806"/>
      <c r="V39" s="806"/>
      <c r="W39" s="935"/>
      <c r="X39" s="935"/>
      <c r="Y39" s="935"/>
      <c r="Z39" s="935"/>
      <c r="AA39" s="935"/>
      <c r="AB39" s="935"/>
      <c r="AC39" s="935"/>
      <c r="AD39" s="935"/>
      <c r="AE39" s="960"/>
      <c r="AF39" s="936">
        <f>IF(W39=AL39,1,0)</f>
        <v>0</v>
      </c>
      <c r="AG39" s="936"/>
      <c r="AH39" s="936"/>
      <c r="AI39" s="6"/>
      <c r="AJ39" s="6"/>
      <c r="AK39" s="6"/>
      <c r="AL39" s="50" t="s">
        <v>286</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3">
      <c r="B40" s="806" t="s">
        <v>287</v>
      </c>
      <c r="C40" s="806"/>
      <c r="D40" s="806"/>
      <c r="E40" s="806"/>
      <c r="F40" s="935"/>
      <c r="G40" s="935"/>
      <c r="H40" s="935"/>
      <c r="I40" s="935"/>
      <c r="J40" s="935"/>
      <c r="K40" s="935"/>
      <c r="L40" s="935"/>
      <c r="M40" s="935"/>
      <c r="N40" s="960"/>
      <c r="O40" s="936">
        <f>IF(F40=AL40,0.5,IF(F40=AL41,0.3,0))</f>
        <v>0</v>
      </c>
      <c r="P40" s="936"/>
      <c r="Q40" s="936"/>
      <c r="R40" s="57"/>
      <c r="S40" s="806" t="s">
        <v>287</v>
      </c>
      <c r="T40" s="806"/>
      <c r="U40" s="806"/>
      <c r="V40" s="806"/>
      <c r="W40" s="935"/>
      <c r="X40" s="935"/>
      <c r="Y40" s="935"/>
      <c r="Z40" s="935"/>
      <c r="AA40" s="935"/>
      <c r="AB40" s="935"/>
      <c r="AC40" s="935"/>
      <c r="AD40" s="935"/>
      <c r="AE40" s="960"/>
      <c r="AF40" s="936">
        <f>IF(W40=AL40,0.5,IF(W40=AL41,0.3,0))</f>
        <v>0</v>
      </c>
      <c r="AG40" s="936"/>
      <c r="AH40" s="936"/>
      <c r="AI40" s="6"/>
      <c r="AJ40" s="6"/>
      <c r="AK40" s="6"/>
      <c r="AL40" s="50" t="s">
        <v>288</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3">
      <c r="B41" s="806" t="s">
        <v>289</v>
      </c>
      <c r="C41" s="806"/>
      <c r="D41" s="806"/>
      <c r="E41" s="806"/>
      <c r="F41" s="935"/>
      <c r="G41" s="935"/>
      <c r="H41" s="935"/>
      <c r="I41" s="935"/>
      <c r="J41" s="935"/>
      <c r="K41" s="935"/>
      <c r="L41" s="935"/>
      <c r="M41" s="935"/>
      <c r="N41" s="960"/>
      <c r="O41" s="936">
        <f>IF(F41=AL40,0.2,IF(F41=AL41,0.1,0))</f>
        <v>0</v>
      </c>
      <c r="P41" s="936"/>
      <c r="Q41" s="936"/>
      <c r="R41" s="57"/>
      <c r="S41" s="806" t="s">
        <v>289</v>
      </c>
      <c r="T41" s="806"/>
      <c r="U41" s="806"/>
      <c r="V41" s="806"/>
      <c r="W41" s="935"/>
      <c r="X41" s="935"/>
      <c r="Y41" s="935"/>
      <c r="Z41" s="935"/>
      <c r="AA41" s="935"/>
      <c r="AB41" s="935"/>
      <c r="AC41" s="935"/>
      <c r="AD41" s="935"/>
      <c r="AE41" s="960"/>
      <c r="AF41" s="936">
        <f>IF(W41=AL40,0.2,IF(W41=AL41,0.1,0))</f>
        <v>0</v>
      </c>
      <c r="AG41" s="936"/>
      <c r="AH41" s="936"/>
      <c r="AI41" s="6"/>
      <c r="AJ41" s="6"/>
      <c r="AK41" s="6"/>
      <c r="AL41" s="50" t="s">
        <v>290</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3">
      <c r="B42" s="806" t="s">
        <v>291</v>
      </c>
      <c r="C42" s="806"/>
      <c r="D42" s="806"/>
      <c r="E42" s="806"/>
      <c r="F42" s="935"/>
      <c r="G42" s="935"/>
      <c r="H42" s="935"/>
      <c r="I42" s="935"/>
      <c r="J42" s="935"/>
      <c r="K42" s="935"/>
      <c r="L42" s="935"/>
      <c r="M42" s="935"/>
      <c r="N42" s="960"/>
      <c r="O42" s="936">
        <f>IF(F42=AL40,0.2,IF(F42=AL41,0.1,0))</f>
        <v>0</v>
      </c>
      <c r="P42" s="936"/>
      <c r="Q42" s="936"/>
      <c r="R42" s="57"/>
      <c r="S42" s="806" t="s">
        <v>291</v>
      </c>
      <c r="T42" s="806"/>
      <c r="U42" s="806"/>
      <c r="V42" s="806"/>
      <c r="W42" s="935"/>
      <c r="X42" s="935"/>
      <c r="Y42" s="935"/>
      <c r="Z42" s="935"/>
      <c r="AA42" s="935"/>
      <c r="AB42" s="935"/>
      <c r="AC42" s="935"/>
      <c r="AD42" s="935"/>
      <c r="AE42" s="960"/>
      <c r="AF42" s="936">
        <f>IF(W42=AL40,0.2,IF(W42=AL41,0.1,0))</f>
        <v>0</v>
      </c>
      <c r="AG42" s="936"/>
      <c r="AH42" s="936"/>
      <c r="AI42" s="6"/>
      <c r="AJ42" s="6"/>
      <c r="AK42" s="6"/>
      <c r="AL42" s="50" t="s">
        <v>292</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3">
      <c r="B43" s="806" t="s">
        <v>293</v>
      </c>
      <c r="C43" s="806"/>
      <c r="D43" s="806"/>
      <c r="E43" s="806"/>
      <c r="F43" s="935"/>
      <c r="G43" s="935"/>
      <c r="H43" s="935"/>
      <c r="I43" s="935"/>
      <c r="J43" s="935"/>
      <c r="K43" s="935"/>
      <c r="L43" s="935"/>
      <c r="M43" s="935"/>
      <c r="N43" s="960"/>
      <c r="O43" s="936">
        <f>IF(F43=AL40,0.2,IF(F43=AL41,0.1,0))</f>
        <v>0</v>
      </c>
      <c r="P43" s="936"/>
      <c r="Q43" s="936"/>
      <c r="R43" s="57"/>
      <c r="S43" s="806" t="s">
        <v>293</v>
      </c>
      <c r="T43" s="806"/>
      <c r="U43" s="806"/>
      <c r="V43" s="806"/>
      <c r="W43" s="935"/>
      <c r="X43" s="935"/>
      <c r="Y43" s="935"/>
      <c r="Z43" s="935"/>
      <c r="AA43" s="935"/>
      <c r="AB43" s="935"/>
      <c r="AC43" s="935"/>
      <c r="AD43" s="935"/>
      <c r="AE43" s="960"/>
      <c r="AF43" s="936">
        <f>IF(W43=AL40,0.2,IF(W43=AL41,0.1,0))</f>
        <v>0</v>
      </c>
      <c r="AG43" s="936"/>
      <c r="AH43" s="936"/>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3">
      <c r="B44" s="806" t="s">
        <v>294</v>
      </c>
      <c r="C44" s="806"/>
      <c r="D44" s="806"/>
      <c r="E44" s="806"/>
      <c r="F44" s="935"/>
      <c r="G44" s="935"/>
      <c r="H44" s="935"/>
      <c r="I44" s="935"/>
      <c r="J44" s="935"/>
      <c r="K44" s="935"/>
      <c r="L44" s="935"/>
      <c r="M44" s="935"/>
      <c r="N44" s="960"/>
      <c r="O44" s="936">
        <f>IF(F44=AL40,0.2,IF(F44=AL41,0.1,0))</f>
        <v>0</v>
      </c>
      <c r="P44" s="936"/>
      <c r="Q44" s="936"/>
      <c r="R44" s="57"/>
      <c r="S44" s="806" t="s">
        <v>294</v>
      </c>
      <c r="T44" s="806"/>
      <c r="U44" s="806"/>
      <c r="V44" s="806"/>
      <c r="W44" s="935"/>
      <c r="X44" s="935"/>
      <c r="Y44" s="935"/>
      <c r="Z44" s="935"/>
      <c r="AA44" s="935"/>
      <c r="AB44" s="935"/>
      <c r="AC44" s="935"/>
      <c r="AD44" s="935"/>
      <c r="AE44" s="960"/>
      <c r="AF44" s="936">
        <f>IF(W44=AL40,0.2,IF(W44=AL41,0.1,0))</f>
        <v>0</v>
      </c>
      <c r="AG44" s="936"/>
      <c r="AH44" s="936"/>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3">
      <c r="B45" s="806" t="s">
        <v>295</v>
      </c>
      <c r="C45" s="806"/>
      <c r="D45" s="806"/>
      <c r="E45" s="806"/>
      <c r="F45" s="935"/>
      <c r="G45" s="935"/>
      <c r="H45" s="935"/>
      <c r="I45" s="935"/>
      <c r="J45" s="935"/>
      <c r="K45" s="935"/>
      <c r="L45" s="935"/>
      <c r="M45" s="935"/>
      <c r="N45" s="960"/>
      <c r="O45" s="936">
        <f>IF(F45=AL42,0.1,0)</f>
        <v>0</v>
      </c>
      <c r="P45" s="936"/>
      <c r="Q45" s="936"/>
      <c r="R45" s="57"/>
      <c r="S45" s="806" t="s">
        <v>295</v>
      </c>
      <c r="T45" s="806"/>
      <c r="U45" s="806"/>
      <c r="V45" s="806"/>
      <c r="W45" s="935"/>
      <c r="X45" s="935"/>
      <c r="Y45" s="935"/>
      <c r="Z45" s="935"/>
      <c r="AA45" s="935"/>
      <c r="AB45" s="935"/>
      <c r="AC45" s="935"/>
      <c r="AD45" s="935"/>
      <c r="AE45" s="960"/>
      <c r="AF45" s="936">
        <f>IF(W45=AL42,0.1,0)</f>
        <v>0</v>
      </c>
      <c r="AG45" s="936"/>
      <c r="AH45" s="936"/>
      <c r="AI45" s="6"/>
      <c r="AJ45" s="6"/>
      <c r="AK45" s="6"/>
      <c r="AL45" s="6"/>
      <c r="AM45" s="6"/>
      <c r="AN45" s="109"/>
      <c r="AO45" s="107"/>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3">
      <c r="B46" s="806" t="s">
        <v>142</v>
      </c>
      <c r="C46" s="806"/>
      <c r="D46" s="806"/>
      <c r="E46" s="806"/>
      <c r="F46" s="935"/>
      <c r="G46" s="935"/>
      <c r="H46" s="935"/>
      <c r="I46" s="935"/>
      <c r="J46" s="935"/>
      <c r="K46" s="935"/>
      <c r="L46" s="935"/>
      <c r="M46" s="935"/>
      <c r="N46" s="960"/>
      <c r="O46" s="936">
        <f>IF(F46=AL42,0.1,0)</f>
        <v>0</v>
      </c>
      <c r="P46" s="936"/>
      <c r="Q46" s="936"/>
      <c r="R46" s="57"/>
      <c r="S46" s="806" t="s">
        <v>142</v>
      </c>
      <c r="T46" s="806"/>
      <c r="U46" s="806"/>
      <c r="V46" s="806"/>
      <c r="W46" s="935"/>
      <c r="X46" s="935"/>
      <c r="Y46" s="935"/>
      <c r="Z46" s="935"/>
      <c r="AA46" s="935"/>
      <c r="AB46" s="935"/>
      <c r="AC46" s="935"/>
      <c r="AD46" s="935"/>
      <c r="AE46" s="960"/>
      <c r="AF46" s="936">
        <f>IF(W46=AL42,0.1,0)</f>
        <v>0</v>
      </c>
      <c r="AG46" s="936"/>
      <c r="AH46" s="936"/>
      <c r="AI46" s="6"/>
      <c r="AJ46" s="6"/>
      <c r="AK46" s="6"/>
      <c r="AL46" s="6"/>
      <c r="AM46" s="109"/>
      <c r="AN46" s="109"/>
      <c r="AO46" s="107"/>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3">
      <c r="B47" s="806" t="s">
        <v>1290</v>
      </c>
      <c r="C47" s="806"/>
      <c r="D47" s="806"/>
      <c r="E47" s="806"/>
      <c r="F47" s="935"/>
      <c r="G47" s="935"/>
      <c r="H47" s="935"/>
      <c r="I47" s="935"/>
      <c r="J47" s="935"/>
      <c r="K47" s="935"/>
      <c r="L47" s="935"/>
      <c r="M47" s="935"/>
      <c r="N47" s="935"/>
      <c r="O47" s="936">
        <f>IF(F47=AL42,0.1,0)</f>
        <v>0</v>
      </c>
      <c r="P47" s="936"/>
      <c r="Q47" s="936"/>
      <c r="R47" s="57"/>
      <c r="S47" s="806" t="s">
        <v>1290</v>
      </c>
      <c r="T47" s="806"/>
      <c r="U47" s="806"/>
      <c r="V47" s="806"/>
      <c r="W47" s="935"/>
      <c r="X47" s="935"/>
      <c r="Y47" s="935"/>
      <c r="Z47" s="935"/>
      <c r="AA47" s="935"/>
      <c r="AB47" s="935"/>
      <c r="AC47" s="935"/>
      <c r="AD47" s="935"/>
      <c r="AE47" s="935"/>
      <c r="AF47" s="936">
        <f>IF(W47=AL42,0.1,0)</f>
        <v>0</v>
      </c>
      <c r="AG47" s="936"/>
      <c r="AH47" s="936"/>
      <c r="AI47" s="6"/>
      <c r="AJ47" s="6"/>
      <c r="AK47" s="6"/>
      <c r="AL47" s="6"/>
      <c r="AM47" s="109"/>
      <c r="AN47" s="109"/>
      <c r="AO47" s="107"/>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3">
      <c r="B48" s="925" t="s">
        <v>298</v>
      </c>
      <c r="C48" s="925"/>
      <c r="D48" s="925"/>
      <c r="E48" s="925"/>
      <c r="F48" s="925"/>
      <c r="G48" s="925"/>
      <c r="H48" s="925"/>
      <c r="I48" s="925"/>
      <c r="J48" s="925"/>
      <c r="K48" s="925"/>
      <c r="L48" s="925"/>
      <c r="M48" s="925"/>
      <c r="N48" s="925"/>
      <c r="O48" s="936">
        <f>IF(SUM(O39:O47)&gt;1,1,SUM(O39:O47))</f>
        <v>0</v>
      </c>
      <c r="P48" s="936"/>
      <c r="Q48" s="936"/>
      <c r="R48" s="57"/>
      <c r="S48" s="925" t="s">
        <v>299</v>
      </c>
      <c r="T48" s="925"/>
      <c r="U48" s="925"/>
      <c r="V48" s="925"/>
      <c r="W48" s="925"/>
      <c r="X48" s="925"/>
      <c r="Y48" s="925"/>
      <c r="Z48" s="925"/>
      <c r="AA48" s="925"/>
      <c r="AB48" s="925"/>
      <c r="AC48" s="925"/>
      <c r="AD48" s="925"/>
      <c r="AE48" s="925"/>
      <c r="AF48" s="936">
        <f>IF(SUM(AF39:AF47)&gt;1,1,SUM(AF39:AF47))</f>
        <v>0</v>
      </c>
      <c r="AG48" s="936"/>
      <c r="AH48" s="936"/>
      <c r="AI48" s="6"/>
      <c r="AJ48" s="6"/>
      <c r="AK48" s="6"/>
      <c r="AL48" s="6"/>
      <c r="AM48" s="109"/>
      <c r="AN48" s="109"/>
      <c r="AO48" s="107"/>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3">
      <c r="B49" s="792"/>
      <c r="C49" s="792"/>
      <c r="D49" s="792"/>
      <c r="E49" s="792"/>
      <c r="F49" s="792"/>
      <c r="G49" s="792"/>
      <c r="H49" s="792"/>
      <c r="I49" s="792"/>
      <c r="J49" s="792"/>
      <c r="K49" s="792"/>
      <c r="L49" s="792"/>
      <c r="M49" s="792"/>
      <c r="N49" s="792"/>
      <c r="O49" s="792"/>
      <c r="P49" s="792"/>
      <c r="Q49" s="792"/>
      <c r="R49" s="57"/>
      <c r="S49" s="712"/>
      <c r="T49" s="712"/>
      <c r="U49" s="712"/>
      <c r="V49" s="712"/>
      <c r="W49" s="712"/>
      <c r="X49" s="712"/>
      <c r="Y49" s="712"/>
      <c r="Z49" s="712"/>
      <c r="AA49" s="712"/>
      <c r="AB49" s="712"/>
      <c r="AC49" s="712"/>
      <c r="AD49" s="712"/>
      <c r="AE49" s="712"/>
      <c r="AF49" s="712"/>
      <c r="AG49" s="712"/>
      <c r="AH49" s="712"/>
      <c r="AI49" s="6"/>
      <c r="AJ49" s="6"/>
      <c r="AK49" s="6"/>
      <c r="AL49" s="6"/>
      <c r="AM49" s="109"/>
      <c r="AN49" s="224"/>
      <c r="AO49" s="107"/>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3">
      <c r="B50" s="947" t="s">
        <v>300</v>
      </c>
      <c r="C50" s="947"/>
      <c r="D50" s="947"/>
      <c r="E50" s="947"/>
      <c r="F50" s="947"/>
      <c r="G50" s="947"/>
      <c r="H50" s="947"/>
      <c r="I50" s="947"/>
      <c r="J50" s="947"/>
      <c r="K50" s="947"/>
      <c r="L50" s="947"/>
      <c r="M50" s="947"/>
      <c r="N50" s="947"/>
      <c r="O50" s="947"/>
      <c r="P50" s="947"/>
      <c r="Q50" s="947"/>
      <c r="R50" s="269"/>
      <c r="S50" s="947" t="s">
        <v>301</v>
      </c>
      <c r="T50" s="947"/>
      <c r="U50" s="947"/>
      <c r="V50" s="947"/>
      <c r="W50" s="947"/>
      <c r="X50" s="947"/>
      <c r="Y50" s="947"/>
      <c r="Z50" s="947"/>
      <c r="AA50" s="947"/>
      <c r="AB50" s="947"/>
      <c r="AC50" s="947"/>
      <c r="AD50" s="947"/>
      <c r="AE50" s="947"/>
      <c r="AF50" s="947"/>
      <c r="AG50" s="947"/>
      <c r="AH50" s="947"/>
      <c r="AI50" s="6"/>
      <c r="AJ50" s="6"/>
      <c r="AK50" s="6"/>
      <c r="AL50" s="6"/>
      <c r="AM50" s="109"/>
      <c r="AN50" s="109"/>
      <c r="AO50" s="107"/>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3">
      <c r="B51" s="833" t="s">
        <v>825</v>
      </c>
      <c r="C51" s="713"/>
      <c r="D51" s="713"/>
      <c r="E51" s="713"/>
      <c r="F51" s="713"/>
      <c r="G51" s="713"/>
      <c r="H51" s="713"/>
      <c r="I51" s="713"/>
      <c r="J51" s="713"/>
      <c r="K51" s="713"/>
      <c r="L51" s="713"/>
      <c r="M51" s="713"/>
      <c r="N51" s="713"/>
      <c r="O51" s="713"/>
      <c r="P51" s="713"/>
      <c r="Q51" s="713"/>
      <c r="R51" s="713"/>
      <c r="S51" s="713"/>
      <c r="T51" s="713"/>
      <c r="U51" s="713"/>
      <c r="V51" s="713"/>
      <c r="W51" s="713"/>
      <c r="X51" s="713"/>
      <c r="Y51" s="713"/>
      <c r="Z51" s="713"/>
      <c r="AA51" s="713"/>
      <c r="AB51" s="713"/>
      <c r="AC51" s="713"/>
      <c r="AD51" s="713"/>
      <c r="AE51" s="713"/>
      <c r="AF51" s="713"/>
      <c r="AG51" s="713"/>
      <c r="AH51" s="834"/>
      <c r="AI51" s="6"/>
      <c r="AJ51" s="6"/>
      <c r="AK51" s="6"/>
      <c r="AL51" s="6"/>
      <c r="AM51" s="109"/>
      <c r="AN51" s="109"/>
      <c r="AO51" s="107"/>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3">
      <c r="B52" s="776" t="s">
        <v>1670</v>
      </c>
      <c r="C52" s="776"/>
      <c r="D52" s="776"/>
      <c r="E52" s="776"/>
      <c r="F52" s="776"/>
      <c r="G52" s="776"/>
      <c r="H52" s="776"/>
      <c r="I52" s="776"/>
      <c r="J52" s="776"/>
      <c r="K52" s="776"/>
      <c r="L52" s="1018"/>
      <c r="M52" s="1018"/>
      <c r="N52" s="1018"/>
      <c r="O52" s="936">
        <f>IF(L52="",0,IF(L52="None",0,IF(L52="Moderate",0.05,IF(L52="Severe",0.1,""))))</f>
        <v>0</v>
      </c>
      <c r="P52" s="936"/>
      <c r="Q52" s="936"/>
      <c r="R52" s="57"/>
      <c r="S52" s="776" t="s">
        <v>1670</v>
      </c>
      <c r="T52" s="776"/>
      <c r="U52" s="776"/>
      <c r="V52" s="776"/>
      <c r="W52" s="776"/>
      <c r="X52" s="776"/>
      <c r="Y52" s="776"/>
      <c r="Z52" s="776"/>
      <c r="AA52" s="776"/>
      <c r="AB52" s="776"/>
      <c r="AC52" s="1018"/>
      <c r="AD52" s="1018"/>
      <c r="AE52" s="1018"/>
      <c r="AF52" s="936">
        <f>IF(AC52="",0,IF(AC52="None",0,IF(AC52="Moderate",0.05,IF(AC52="Severe",0.1,""))))</f>
        <v>0</v>
      </c>
      <c r="AG52" s="936"/>
      <c r="AH52" s="93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3">
      <c r="B53" s="806" t="s">
        <v>302</v>
      </c>
      <c r="C53" s="806"/>
      <c r="D53" s="806"/>
      <c r="E53" s="806"/>
      <c r="F53" s="806"/>
      <c r="G53" s="806"/>
      <c r="H53" s="806"/>
      <c r="I53" s="806"/>
      <c r="J53" s="806"/>
      <c r="K53" s="806"/>
      <c r="L53" s="1018"/>
      <c r="M53" s="1018"/>
      <c r="N53" s="1018"/>
      <c r="O53" s="936">
        <f>IF(L53="",0,IF(L53="None",0,IF(L53="Moderate",0.05,IF(L53="Severe",0.1,""))))</f>
        <v>0</v>
      </c>
      <c r="P53" s="936"/>
      <c r="Q53" s="936"/>
      <c r="R53" s="57"/>
      <c r="S53" s="806" t="s">
        <v>302</v>
      </c>
      <c r="T53" s="806"/>
      <c r="U53" s="806"/>
      <c r="V53" s="806"/>
      <c r="W53" s="806"/>
      <c r="X53" s="806"/>
      <c r="Y53" s="806"/>
      <c r="Z53" s="806"/>
      <c r="AA53" s="806"/>
      <c r="AB53" s="806"/>
      <c r="AC53" s="1018"/>
      <c r="AD53" s="1018"/>
      <c r="AE53" s="1018"/>
      <c r="AF53" s="936">
        <f>IF(AC53="",0,IF(AC53="None",0,IF(AC53="Moderate",0.05,IF(AC53="Severe",0.1,""))))</f>
        <v>0</v>
      </c>
      <c r="AG53" s="936"/>
      <c r="AH53" s="93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3">
      <c r="B54" s="806" t="s">
        <v>1803</v>
      </c>
      <c r="C54" s="806"/>
      <c r="D54" s="806"/>
      <c r="E54" s="806"/>
      <c r="F54" s="806"/>
      <c r="G54" s="806"/>
      <c r="H54" s="806"/>
      <c r="I54" s="806"/>
      <c r="J54" s="806"/>
      <c r="K54" s="806"/>
      <c r="L54" s="1018"/>
      <c r="M54" s="1018"/>
      <c r="N54" s="1018"/>
      <c r="O54" s="936">
        <f>IF(L54="",0,IF(L54="None",0,IF(L54="Moderate",0.05,IF(L54="Severe",0.1,""))))</f>
        <v>0</v>
      </c>
      <c r="P54" s="936"/>
      <c r="Q54" s="936"/>
      <c r="R54" s="57"/>
      <c r="S54" s="806" t="s">
        <v>1803</v>
      </c>
      <c r="T54" s="806"/>
      <c r="U54" s="806"/>
      <c r="V54" s="806"/>
      <c r="W54" s="806"/>
      <c r="X54" s="806"/>
      <c r="Y54" s="806"/>
      <c r="Z54" s="806"/>
      <c r="AA54" s="806"/>
      <c r="AB54" s="806"/>
      <c r="AC54" s="1018"/>
      <c r="AD54" s="1018"/>
      <c r="AE54" s="1018"/>
      <c r="AF54" s="936">
        <f>IF(AC54="",0,IF(AC54="None",0,IF(AC54="Moderate",0.05,IF(AC54="Severe",0.1,""))))</f>
        <v>0</v>
      </c>
      <c r="AG54" s="936"/>
      <c r="AH54" s="93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3">
      <c r="B55" s="1136"/>
      <c r="C55" s="792"/>
      <c r="D55" s="792"/>
      <c r="E55" s="792"/>
      <c r="F55" s="792"/>
      <c r="G55" s="792"/>
      <c r="H55" s="792"/>
      <c r="I55" s="792"/>
      <c r="J55" s="792"/>
      <c r="K55" s="792"/>
      <c r="L55" s="792"/>
      <c r="M55" s="792"/>
      <c r="N55" s="792"/>
      <c r="O55" s="792"/>
      <c r="P55" s="792"/>
      <c r="Q55" s="792"/>
      <c r="R55" s="57"/>
      <c r="S55" s="792"/>
      <c r="T55" s="792"/>
      <c r="U55" s="792"/>
      <c r="V55" s="792"/>
      <c r="W55" s="792"/>
      <c r="X55" s="792"/>
      <c r="Y55" s="792"/>
      <c r="Z55" s="792"/>
      <c r="AA55" s="792"/>
      <c r="AB55" s="792"/>
      <c r="AC55" s="792"/>
      <c r="AD55" s="792"/>
      <c r="AE55" s="792"/>
      <c r="AF55" s="792"/>
      <c r="AG55" s="792"/>
      <c r="AH55" s="1135"/>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3">
      <c r="A56" s="15"/>
      <c r="B56" s="757" t="s">
        <v>1972</v>
      </c>
      <c r="C56" s="758"/>
      <c r="D56" s="758"/>
      <c r="E56" s="758"/>
      <c r="F56" s="758"/>
      <c r="G56" s="758"/>
      <c r="H56" s="758"/>
      <c r="I56" s="758"/>
      <c r="J56" s="758"/>
      <c r="K56" s="759"/>
      <c r="L56" s="1439"/>
      <c r="M56" s="1439"/>
      <c r="N56" s="1439"/>
      <c r="O56" s="936">
        <f>IF(AL56=TRUE,1,0)</f>
        <v>0</v>
      </c>
      <c r="P56" s="936"/>
      <c r="Q56" s="936"/>
      <c r="R56" s="517"/>
      <c r="S56" s="757" t="s">
        <v>1972</v>
      </c>
      <c r="T56" s="758"/>
      <c r="U56" s="758"/>
      <c r="V56" s="758"/>
      <c r="W56" s="758"/>
      <c r="X56" s="758"/>
      <c r="Y56" s="758"/>
      <c r="Z56" s="758"/>
      <c r="AA56" s="758"/>
      <c r="AB56" s="759"/>
      <c r="AC56" s="1439"/>
      <c r="AD56" s="1439"/>
      <c r="AE56" s="1439"/>
      <c r="AF56" s="936">
        <f>IF(AM56=TRUE,1,0)</f>
        <v>0</v>
      </c>
      <c r="AG56" s="936"/>
      <c r="AH56" s="936"/>
      <c r="AI56" s="6"/>
      <c r="AJ56" s="6"/>
      <c r="AK56" s="6"/>
      <c r="AL56" s="622" t="b">
        <v>0</v>
      </c>
      <c r="AM56" s="622"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3">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3">
      <c r="B58" s="878" t="s">
        <v>1804</v>
      </c>
      <c r="C58" s="878"/>
      <c r="D58" s="878"/>
      <c r="E58" s="878"/>
      <c r="F58" s="878"/>
      <c r="G58" s="878"/>
      <c r="H58" s="878"/>
      <c r="I58" s="878"/>
      <c r="J58" s="878"/>
      <c r="K58" s="878"/>
      <c r="L58" s="878"/>
      <c r="M58" s="878"/>
      <c r="N58" s="878"/>
      <c r="O58" s="878"/>
      <c r="P58" s="878"/>
      <c r="Q58" s="878"/>
      <c r="R58" s="409"/>
      <c r="S58" s="878" t="s">
        <v>1805</v>
      </c>
      <c r="T58" s="878"/>
      <c r="U58" s="878"/>
      <c r="V58" s="878"/>
      <c r="W58" s="878"/>
      <c r="X58" s="878"/>
      <c r="Y58" s="878"/>
      <c r="Z58" s="878"/>
      <c r="AA58" s="878"/>
      <c r="AB58" s="878"/>
      <c r="AC58" s="878"/>
      <c r="AD58" s="878"/>
      <c r="AE58" s="878"/>
      <c r="AF58" s="878"/>
      <c r="AG58" s="878"/>
      <c r="AH58" s="878"/>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3">
      <c r="B59" s="1436" t="str">
        <f>IF(OR(O7&gt;0,O11&gt;0),"*Central vision loss is apportioned - see above","")</f>
        <v/>
      </c>
      <c r="C59" s="1437"/>
      <c r="D59" s="1437"/>
      <c r="E59" s="1437"/>
      <c r="F59" s="1437"/>
      <c r="G59" s="1437"/>
      <c r="H59" s="1437"/>
      <c r="I59" s="1437"/>
      <c r="J59" s="1437"/>
      <c r="K59" s="1438"/>
      <c r="L59" s="922" t="s">
        <v>1524</v>
      </c>
      <c r="M59" s="926"/>
      <c r="N59" s="926"/>
      <c r="O59" s="926"/>
      <c r="P59" s="926"/>
      <c r="Q59" s="923"/>
      <c r="R59" s="57"/>
      <c r="S59" s="1436" t="str">
        <f>IF(OR(AF7&gt;0,AF11&gt;0),"*Central vision loss is apportioned - see above","")</f>
        <v/>
      </c>
      <c r="T59" s="1437"/>
      <c r="U59" s="1437"/>
      <c r="V59" s="1437"/>
      <c r="W59" s="1437"/>
      <c r="X59" s="1437"/>
      <c r="Y59" s="1437"/>
      <c r="Z59" s="1437"/>
      <c r="AA59" s="1437"/>
      <c r="AB59" s="1438"/>
      <c r="AC59" s="922" t="s">
        <v>1524</v>
      </c>
      <c r="AD59" s="926"/>
      <c r="AE59" s="926"/>
      <c r="AF59" s="926"/>
      <c r="AG59" s="926"/>
      <c r="AH59" s="923"/>
      <c r="AI59" s="6"/>
      <c r="AJ59" s="6"/>
      <c r="AK59" s="6"/>
      <c r="AL59" s="146" t="s">
        <v>511</v>
      </c>
      <c r="AM59" s="146" t="s">
        <v>511</v>
      </c>
      <c r="AN59" s="234" t="s">
        <v>1078</v>
      </c>
      <c r="AO59" s="234" t="s">
        <v>1752</v>
      </c>
      <c r="AP59" s="13" t="s">
        <v>1291</v>
      </c>
      <c r="AQ59" s="13" t="s">
        <v>1292</v>
      </c>
      <c r="AR59" s="146" t="s">
        <v>1925</v>
      </c>
      <c r="AS59" s="146" t="s">
        <v>1079</v>
      </c>
      <c r="AT59" s="146" t="s">
        <v>1926</v>
      </c>
      <c r="AU59" s="13" t="s">
        <v>1293</v>
      </c>
      <c r="AV59" s="13" t="s">
        <v>1294</v>
      </c>
      <c r="AW59" s="146" t="s">
        <v>425</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3">
      <c r="B60" s="757" t="str">
        <f>IF(OR(O7&gt;0,O11&gt;0),"Central vision loss*","Central vision loss")</f>
        <v>Central vision loss</v>
      </c>
      <c r="C60" s="758"/>
      <c r="D60" s="758"/>
      <c r="E60" s="758"/>
      <c r="F60" s="758"/>
      <c r="G60" s="758"/>
      <c r="H60" s="759"/>
      <c r="I60" s="882">
        <f>O17</f>
        <v>0</v>
      </c>
      <c r="J60" s="882"/>
      <c r="K60" s="882"/>
      <c r="L60" s="1115" t="s">
        <v>2256</v>
      </c>
      <c r="M60" s="1177"/>
      <c r="N60" s="1116"/>
      <c r="O60" s="1440"/>
      <c r="P60" s="1441"/>
      <c r="Q60" s="1442"/>
      <c r="R60" s="57"/>
      <c r="S60" s="757" t="str">
        <f>IF(OR(AF6&gt;0,AF10&gt;0),"Central vision loss*","Central vision loss")</f>
        <v>Central vision loss</v>
      </c>
      <c r="T60" s="758"/>
      <c r="U60" s="758"/>
      <c r="V60" s="758"/>
      <c r="W60" s="758"/>
      <c r="X60" s="758"/>
      <c r="Y60" s="759"/>
      <c r="Z60" s="882">
        <f>AF17</f>
        <v>0</v>
      </c>
      <c r="AA60" s="882"/>
      <c r="AB60" s="882"/>
      <c r="AC60" s="1115" t="s">
        <v>2256</v>
      </c>
      <c r="AD60" s="1177"/>
      <c r="AE60" s="1116"/>
      <c r="AF60" s="1440"/>
      <c r="AG60" s="1441"/>
      <c r="AH60" s="1442"/>
      <c r="AI60" s="6"/>
      <c r="AJ60" s="6"/>
      <c r="AK60" s="6"/>
      <c r="AL60" s="146" t="s">
        <v>289</v>
      </c>
      <c r="AM60" s="308" t="s">
        <v>293</v>
      </c>
      <c r="AN60" s="656">
        <f>I60</f>
        <v>0</v>
      </c>
      <c r="AO60" s="394">
        <f t="shared" ref="AO60:AO66" si="4">ROUND(AN60,2)</f>
        <v>0</v>
      </c>
      <c r="AP60" s="84">
        <f>LARGE(AO60:AO66,1)</f>
        <v>0</v>
      </c>
      <c r="AQ60" s="53">
        <f>AP60+AP61*(1-AP60)</f>
        <v>0</v>
      </c>
      <c r="AR60" s="394">
        <f t="shared" ref="AR60:AR65" si="5">ROUND(AQ60,2)</f>
        <v>0</v>
      </c>
      <c r="AS60" s="656">
        <f>Z60</f>
        <v>0</v>
      </c>
      <c r="AT60" s="394">
        <f t="shared" ref="AT60:AT66" si="6">ROUND(AS60,2)</f>
        <v>0</v>
      </c>
      <c r="AU60" s="53">
        <f>LARGE(AT60:AT66,1)</f>
        <v>0</v>
      </c>
      <c r="AV60" s="53">
        <f>AU60+AU61*(1-AU60)</f>
        <v>0</v>
      </c>
      <c r="AW60" s="394">
        <f t="shared" ref="AW60:AW65" si="7">ROUND(AV60,2)</f>
        <v>0</v>
      </c>
      <c r="AX60" s="6"/>
      <c r="AY60" s="12" t="s">
        <v>289</v>
      </c>
      <c r="AZ60" s="13" t="s">
        <v>293</v>
      </c>
      <c r="BA60" s="6"/>
      <c r="BB60" s="125"/>
      <c r="BC60" s="125"/>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3">
      <c r="B61" s="757" t="s">
        <v>1806</v>
      </c>
      <c r="C61" s="758"/>
      <c r="D61" s="758"/>
      <c r="E61" s="758"/>
      <c r="F61" s="758"/>
      <c r="G61" s="758"/>
      <c r="H61" s="759"/>
      <c r="I61" s="882">
        <f>O33</f>
        <v>0</v>
      </c>
      <c r="J61" s="882"/>
      <c r="K61" s="882"/>
      <c r="L61" s="1150"/>
      <c r="M61" s="1432"/>
      <c r="N61" s="1151"/>
      <c r="O61" s="1433">
        <f>IF(AND(AL61&lt;0.01,AL61&gt;0),0.01,ROUND(AL61,4))</f>
        <v>0</v>
      </c>
      <c r="P61" s="1434"/>
      <c r="Q61" s="1435"/>
      <c r="R61" s="57"/>
      <c r="S61" s="757" t="s">
        <v>1806</v>
      </c>
      <c r="T61" s="758"/>
      <c r="U61" s="758"/>
      <c r="V61" s="758"/>
      <c r="W61" s="758"/>
      <c r="X61" s="758"/>
      <c r="Y61" s="759"/>
      <c r="Z61" s="882">
        <f>AF33</f>
        <v>0</v>
      </c>
      <c r="AA61" s="882"/>
      <c r="AB61" s="882"/>
      <c r="AC61" s="1150"/>
      <c r="AD61" s="1432"/>
      <c r="AE61" s="1151"/>
      <c r="AF61" s="1433">
        <f>IF(AND(AM61&lt;0.01,AM61&gt;0),0.01,ROUND(AM61,4))</f>
        <v>0</v>
      </c>
      <c r="AG61" s="1434"/>
      <c r="AH61" s="1435"/>
      <c r="AI61" s="6"/>
      <c r="AJ61" s="6"/>
      <c r="AK61" s="6"/>
      <c r="AL61" s="191">
        <f>IF(L61&gt;0,I61*L61,0)</f>
        <v>0</v>
      </c>
      <c r="AM61" s="652">
        <f>IF(AC61&gt;0,Z61*AC61,0)</f>
        <v>0</v>
      </c>
      <c r="AN61" s="656">
        <f t="shared" ref="AN61:AN65" si="8">IF(O61&gt;0,O61,I61)</f>
        <v>0</v>
      </c>
      <c r="AO61" s="394">
        <f t="shared" si="4"/>
        <v>0</v>
      </c>
      <c r="AP61" s="84">
        <f>LARGE(AO60:AO66,2)</f>
        <v>0</v>
      </c>
      <c r="AQ61" s="53">
        <f>AR60+AP62*(1-AR60)</f>
        <v>0</v>
      </c>
      <c r="AR61" s="394">
        <f t="shared" si="5"/>
        <v>0</v>
      </c>
      <c r="AS61" s="656">
        <f t="shared" ref="AS61:AS65" si="9">IF(AF61&gt;0,AF61,Z61)</f>
        <v>0</v>
      </c>
      <c r="AT61" s="394">
        <f t="shared" si="6"/>
        <v>0</v>
      </c>
      <c r="AU61" s="53">
        <f>LARGE(AT60:AT66,2)</f>
        <v>0</v>
      </c>
      <c r="AV61" s="53">
        <f>AW60+AU62*(1-AW60)</f>
        <v>0</v>
      </c>
      <c r="AW61" s="394">
        <f t="shared" si="7"/>
        <v>0</v>
      </c>
      <c r="AX61" s="6"/>
      <c r="AY61" s="56">
        <f>COUNTIF(I60:I66,"&gt;0")</f>
        <v>0</v>
      </c>
      <c r="AZ61" s="56">
        <f>COUNTIF(Z60:Z66,"&gt;0")</f>
        <v>0</v>
      </c>
      <c r="BA61" s="10" t="s">
        <v>426</v>
      </c>
      <c r="BB61" s="125"/>
      <c r="BC61" s="125"/>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3">
      <c r="B62" s="771" t="s">
        <v>1807</v>
      </c>
      <c r="C62" s="758"/>
      <c r="D62" s="758"/>
      <c r="E62" s="758"/>
      <c r="F62" s="758"/>
      <c r="G62" s="758"/>
      <c r="H62" s="759"/>
      <c r="I62" s="882">
        <f>O48</f>
        <v>0</v>
      </c>
      <c r="J62" s="882"/>
      <c r="K62" s="882"/>
      <c r="L62" s="1150"/>
      <c r="M62" s="1432"/>
      <c r="N62" s="1151"/>
      <c r="O62" s="1433">
        <f>IF(AND(AL62&lt;0.01,AL62&gt;0),0.01,ROUND(AL62,4))</f>
        <v>0</v>
      </c>
      <c r="P62" s="1434"/>
      <c r="Q62" s="1435"/>
      <c r="R62" s="57"/>
      <c r="S62" s="757" t="s">
        <v>1807</v>
      </c>
      <c r="T62" s="758"/>
      <c r="U62" s="758"/>
      <c r="V62" s="758"/>
      <c r="W62" s="758"/>
      <c r="X62" s="758"/>
      <c r="Y62" s="759"/>
      <c r="Z62" s="882">
        <f>AF48</f>
        <v>0</v>
      </c>
      <c r="AA62" s="882"/>
      <c r="AB62" s="882"/>
      <c r="AC62" s="1150"/>
      <c r="AD62" s="1432"/>
      <c r="AE62" s="1151"/>
      <c r="AF62" s="1433">
        <f>IF(AND(AM62&lt;0.01,AM62&gt;0),0.01,ROUND(AM62,4))</f>
        <v>0</v>
      </c>
      <c r="AG62" s="1434"/>
      <c r="AH62" s="1435"/>
      <c r="AI62" s="6"/>
      <c r="AJ62" s="6"/>
      <c r="AK62" s="6"/>
      <c r="AL62" s="191">
        <f t="shared" ref="AL62:AL65" si="10">IF(L62&gt;0,I62*L62,0)</f>
        <v>0</v>
      </c>
      <c r="AM62" s="652">
        <f t="shared" ref="AM62:AM65" si="11">IF(AC62&gt;0,Z62*AC62,0)</f>
        <v>0</v>
      </c>
      <c r="AN62" s="656">
        <f t="shared" si="8"/>
        <v>0</v>
      </c>
      <c r="AO62" s="394">
        <f t="shared" si="4"/>
        <v>0</v>
      </c>
      <c r="AP62" s="84">
        <f>LARGE(AO60:AO66,3)</f>
        <v>0</v>
      </c>
      <c r="AQ62" s="53">
        <f>AR61+AP63*(1-AR61)</f>
        <v>0</v>
      </c>
      <c r="AR62" s="394">
        <f t="shared" si="5"/>
        <v>0</v>
      </c>
      <c r="AS62" s="656">
        <f t="shared" si="9"/>
        <v>0</v>
      </c>
      <c r="AT62" s="394">
        <f t="shared" si="6"/>
        <v>0</v>
      </c>
      <c r="AU62" s="53">
        <f>LARGE(AT60:AT66,3)</f>
        <v>0</v>
      </c>
      <c r="AV62" s="53">
        <f>AW61+AU63*(1-AW61)</f>
        <v>0</v>
      </c>
      <c r="AW62" s="394">
        <f t="shared" si="7"/>
        <v>0</v>
      </c>
      <c r="AX62" s="6"/>
      <c r="AY62" s="12">
        <f>ROUND(SUM(AN60:AN66),4)</f>
        <v>0</v>
      </c>
      <c r="AZ62" s="12">
        <f>ROUND(SUM(AS60:AS66),4)</f>
        <v>0</v>
      </c>
      <c r="BA62" s="6"/>
      <c r="BB62" s="125"/>
      <c r="BC62" s="125"/>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3">
      <c r="B63" s="757" t="s">
        <v>1670</v>
      </c>
      <c r="C63" s="758"/>
      <c r="D63" s="758"/>
      <c r="E63" s="758"/>
      <c r="F63" s="758"/>
      <c r="G63" s="758"/>
      <c r="H63" s="759"/>
      <c r="I63" s="882">
        <f>O52</f>
        <v>0</v>
      </c>
      <c r="J63" s="882"/>
      <c r="K63" s="882"/>
      <c r="L63" s="1150"/>
      <c r="M63" s="1432"/>
      <c r="N63" s="1151"/>
      <c r="O63" s="1433">
        <f>IF(AND(AL63&lt;0.01,AL63&gt;0),0.01,ROUND(AL63,4))</f>
        <v>0</v>
      </c>
      <c r="P63" s="1434"/>
      <c r="Q63" s="1435"/>
      <c r="R63" s="57"/>
      <c r="S63" s="757" t="s">
        <v>1670</v>
      </c>
      <c r="T63" s="758"/>
      <c r="U63" s="758"/>
      <c r="V63" s="758"/>
      <c r="W63" s="758"/>
      <c r="X63" s="758"/>
      <c r="Y63" s="759"/>
      <c r="Z63" s="882">
        <f>AF52</f>
        <v>0</v>
      </c>
      <c r="AA63" s="882"/>
      <c r="AB63" s="882"/>
      <c r="AC63" s="1150"/>
      <c r="AD63" s="1432"/>
      <c r="AE63" s="1151"/>
      <c r="AF63" s="1433">
        <f>IF(AND(AM63&lt;0.01,AM63&gt;0),0.01,ROUND(AM63,4))</f>
        <v>0</v>
      </c>
      <c r="AG63" s="1434"/>
      <c r="AH63" s="1435"/>
      <c r="AI63" s="6"/>
      <c r="AJ63" s="6"/>
      <c r="AK63" s="6"/>
      <c r="AL63" s="191">
        <f t="shared" si="10"/>
        <v>0</v>
      </c>
      <c r="AM63" s="652">
        <f t="shared" si="11"/>
        <v>0</v>
      </c>
      <c r="AN63" s="656">
        <f t="shared" si="8"/>
        <v>0</v>
      </c>
      <c r="AO63" s="394">
        <f t="shared" si="4"/>
        <v>0</v>
      </c>
      <c r="AP63" s="84">
        <f>LARGE(AO60:AO66,4)</f>
        <v>0</v>
      </c>
      <c r="AQ63" s="53">
        <f>AR62+AP64*(1-AR62)</f>
        <v>0</v>
      </c>
      <c r="AR63" s="394">
        <f t="shared" si="5"/>
        <v>0</v>
      </c>
      <c r="AS63" s="656">
        <f t="shared" si="9"/>
        <v>0</v>
      </c>
      <c r="AT63" s="394">
        <f t="shared" si="6"/>
        <v>0</v>
      </c>
      <c r="AU63" s="53">
        <f>LARGE(AT60:AT66,4)</f>
        <v>0</v>
      </c>
      <c r="AV63" s="53">
        <f>AW62+AU64*(1-AW62)</f>
        <v>0</v>
      </c>
      <c r="AW63" s="394">
        <f t="shared" si="7"/>
        <v>0</v>
      </c>
      <c r="AX63" s="6"/>
      <c r="AY63" s="77"/>
      <c r="AZ63" s="6"/>
      <c r="BA63" s="6"/>
      <c r="BB63" s="125"/>
      <c r="BC63" s="125"/>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3">
      <c r="B64" s="757" t="s">
        <v>302</v>
      </c>
      <c r="C64" s="758"/>
      <c r="D64" s="758"/>
      <c r="E64" s="758"/>
      <c r="F64" s="758"/>
      <c r="G64" s="758"/>
      <c r="H64" s="759"/>
      <c r="I64" s="882">
        <f>O53</f>
        <v>0</v>
      </c>
      <c r="J64" s="882"/>
      <c r="K64" s="882"/>
      <c r="L64" s="1150"/>
      <c r="M64" s="1432"/>
      <c r="N64" s="1151"/>
      <c r="O64" s="1433">
        <f>IF(AND(AL64&lt;0.01,AL64&gt;0),0.01,ROUND(AL64,4))</f>
        <v>0</v>
      </c>
      <c r="P64" s="1434"/>
      <c r="Q64" s="1435"/>
      <c r="R64" s="57"/>
      <c r="S64" s="757" t="s">
        <v>302</v>
      </c>
      <c r="T64" s="758"/>
      <c r="U64" s="758"/>
      <c r="V64" s="758"/>
      <c r="W64" s="758"/>
      <c r="X64" s="758"/>
      <c r="Y64" s="759"/>
      <c r="Z64" s="882">
        <f>AF53</f>
        <v>0</v>
      </c>
      <c r="AA64" s="882"/>
      <c r="AB64" s="882"/>
      <c r="AC64" s="1150"/>
      <c r="AD64" s="1432"/>
      <c r="AE64" s="1151"/>
      <c r="AF64" s="1433">
        <f>IF(AND(AM64&lt;0.01,AM64&gt;0),0.01,ROUND(AM64,4))</f>
        <v>0</v>
      </c>
      <c r="AG64" s="1434"/>
      <c r="AH64" s="1435"/>
      <c r="AI64" s="6"/>
      <c r="AJ64" s="6"/>
      <c r="AK64" s="6"/>
      <c r="AL64" s="191">
        <f t="shared" si="10"/>
        <v>0</v>
      </c>
      <c r="AM64" s="652">
        <f t="shared" si="11"/>
        <v>0</v>
      </c>
      <c r="AN64" s="656">
        <f t="shared" si="8"/>
        <v>0</v>
      </c>
      <c r="AO64" s="394">
        <f t="shared" si="4"/>
        <v>0</v>
      </c>
      <c r="AP64" s="84">
        <f>LARGE(AO60:AO66,5)</f>
        <v>0</v>
      </c>
      <c r="AQ64" s="53">
        <f>AR63+AP65*(1-AR63)</f>
        <v>0</v>
      </c>
      <c r="AR64" s="394">
        <f t="shared" si="5"/>
        <v>0</v>
      </c>
      <c r="AS64" s="656">
        <f t="shared" si="9"/>
        <v>0</v>
      </c>
      <c r="AT64" s="394">
        <f t="shared" si="6"/>
        <v>0</v>
      </c>
      <c r="AU64" s="53">
        <f>LARGE(AT60:AT66,5)</f>
        <v>0</v>
      </c>
      <c r="AV64" s="53">
        <f>AW63+AU65*(1-AW63)</f>
        <v>0</v>
      </c>
      <c r="AW64" s="394">
        <f t="shared" si="7"/>
        <v>0</v>
      </c>
      <c r="AX64" s="6"/>
      <c r="AY64" s="6"/>
      <c r="AZ64" s="6"/>
      <c r="BA64" s="6"/>
      <c r="BB64" s="6"/>
      <c r="BC64" s="125"/>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3">
      <c r="B65" s="757" t="s">
        <v>1803</v>
      </c>
      <c r="C65" s="758"/>
      <c r="D65" s="758"/>
      <c r="E65" s="758"/>
      <c r="F65" s="758"/>
      <c r="G65" s="758"/>
      <c r="H65" s="759"/>
      <c r="I65" s="882">
        <f>O54</f>
        <v>0</v>
      </c>
      <c r="J65" s="882"/>
      <c r="K65" s="882"/>
      <c r="L65" s="1150"/>
      <c r="M65" s="1432"/>
      <c r="N65" s="1151"/>
      <c r="O65" s="1433">
        <f>IF(AND(AL65&lt;0.01,AL65&gt;0),0.01,ROUND(AL65,4))</f>
        <v>0</v>
      </c>
      <c r="P65" s="1434"/>
      <c r="Q65" s="1435"/>
      <c r="R65" s="57"/>
      <c r="S65" s="757" t="s">
        <v>1803</v>
      </c>
      <c r="T65" s="758"/>
      <c r="U65" s="758"/>
      <c r="V65" s="758"/>
      <c r="W65" s="758"/>
      <c r="X65" s="758"/>
      <c r="Y65" s="759"/>
      <c r="Z65" s="882">
        <f>AF54</f>
        <v>0</v>
      </c>
      <c r="AA65" s="882"/>
      <c r="AB65" s="882"/>
      <c r="AC65" s="1150"/>
      <c r="AD65" s="1432"/>
      <c r="AE65" s="1151"/>
      <c r="AF65" s="1433">
        <f>IF(AND(AM65&lt;0.01,AM65&gt;0),0.01,ROUND(AM65,4))</f>
        <v>0</v>
      </c>
      <c r="AG65" s="1434"/>
      <c r="AH65" s="1435"/>
      <c r="AI65" s="6"/>
      <c r="AJ65" s="6"/>
      <c r="AK65" s="6"/>
      <c r="AL65" s="191">
        <f t="shared" si="10"/>
        <v>0</v>
      </c>
      <c r="AM65" s="652">
        <f t="shared" si="11"/>
        <v>0</v>
      </c>
      <c r="AN65" s="656">
        <f t="shared" si="8"/>
        <v>0</v>
      </c>
      <c r="AO65" s="394">
        <f t="shared" si="4"/>
        <v>0</v>
      </c>
      <c r="AP65" s="84">
        <f>LARGE(AO60:AO66,6)</f>
        <v>0</v>
      </c>
      <c r="AQ65" s="53">
        <f>AR64+AP66*(1-AR64)</f>
        <v>0</v>
      </c>
      <c r="AR65" s="394">
        <f t="shared" si="5"/>
        <v>0</v>
      </c>
      <c r="AS65" s="656">
        <f t="shared" si="9"/>
        <v>0</v>
      </c>
      <c r="AT65" s="394">
        <f t="shared" si="6"/>
        <v>0</v>
      </c>
      <c r="AU65" s="53">
        <f>LARGE(AT60:AT66,6)</f>
        <v>0</v>
      </c>
      <c r="AV65" s="53">
        <f>AW64+AU66*(1-AW64)</f>
        <v>0</v>
      </c>
      <c r="AW65" s="394">
        <f t="shared" si="7"/>
        <v>0</v>
      </c>
      <c r="AX65" s="6"/>
      <c r="AY65" s="6"/>
      <c r="AZ65" s="6"/>
      <c r="BA65" s="6"/>
      <c r="BB65" s="6"/>
      <c r="BC65" s="125"/>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3">
      <c r="B66" s="757" t="s">
        <v>1973</v>
      </c>
      <c r="C66" s="758"/>
      <c r="D66" s="758"/>
      <c r="E66" s="758"/>
      <c r="F66" s="758"/>
      <c r="G66" s="758"/>
      <c r="H66" s="759"/>
      <c r="I66" s="817">
        <f>O56</f>
        <v>0</v>
      </c>
      <c r="J66" s="899"/>
      <c r="K66" s="900"/>
      <c r="L66" s="940" t="s">
        <v>1941</v>
      </c>
      <c r="M66" s="941"/>
      <c r="N66" s="942"/>
      <c r="O66" s="1440"/>
      <c r="P66" s="1441"/>
      <c r="Q66" s="1442"/>
      <c r="R66" s="57"/>
      <c r="S66" s="757" t="s">
        <v>1973</v>
      </c>
      <c r="T66" s="758"/>
      <c r="U66" s="758"/>
      <c r="V66" s="758"/>
      <c r="W66" s="758"/>
      <c r="X66" s="758"/>
      <c r="Y66" s="759"/>
      <c r="Z66" s="817">
        <f>AF56</f>
        <v>0</v>
      </c>
      <c r="AA66" s="899"/>
      <c r="AB66" s="900"/>
      <c r="AC66" s="940" t="s">
        <v>1941</v>
      </c>
      <c r="AD66" s="941"/>
      <c r="AE66" s="942"/>
      <c r="AF66" s="1440"/>
      <c r="AG66" s="1441"/>
      <c r="AH66" s="1442"/>
      <c r="AI66" s="6"/>
      <c r="AJ66" s="6"/>
      <c r="AK66" s="6"/>
      <c r="AL66" s="6"/>
      <c r="AM66" s="6"/>
      <c r="AN66" s="656">
        <f>I66</f>
        <v>0</v>
      </c>
      <c r="AO66" s="394">
        <f t="shared" si="4"/>
        <v>0</v>
      </c>
      <c r="AP66" s="84">
        <f>LARGE(AO60:AO66,7)</f>
        <v>0</v>
      </c>
      <c r="AQ66" s="77"/>
      <c r="AR66" s="7"/>
      <c r="AS66" s="656">
        <f>Z66</f>
        <v>0</v>
      </c>
      <c r="AT66" s="394">
        <f t="shared" si="6"/>
        <v>0</v>
      </c>
      <c r="AU66" s="53">
        <f>LARGE(AT60:AT66,7)</f>
        <v>0</v>
      </c>
      <c r="AV66" s="34"/>
      <c r="AX66" s="6"/>
      <c r="AY66" s="6"/>
      <c r="AZ66" s="6"/>
      <c r="BA66" s="6"/>
      <c r="BB66" s="6"/>
      <c r="BC66" s="125"/>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3">
      <c r="B67" s="771" t="s">
        <v>1092</v>
      </c>
      <c r="C67" s="758"/>
      <c r="D67" s="758"/>
      <c r="E67" s="758"/>
      <c r="F67" s="758"/>
      <c r="G67" s="758"/>
      <c r="H67" s="759"/>
      <c r="I67" s="778">
        <f>IF(AY61=1,AY62,AR65)</f>
        <v>0</v>
      </c>
      <c r="J67" s="778"/>
      <c r="K67" s="778"/>
      <c r="L67" s="925"/>
      <c r="M67" s="925"/>
      <c r="N67" s="925"/>
      <c r="O67" s="925"/>
      <c r="P67" s="925"/>
      <c r="Q67" s="925"/>
      <c r="R67" s="325"/>
      <c r="S67" s="771" t="s">
        <v>1093</v>
      </c>
      <c r="T67" s="758"/>
      <c r="U67" s="758"/>
      <c r="V67" s="758"/>
      <c r="W67" s="758"/>
      <c r="X67" s="758"/>
      <c r="Y67" s="759"/>
      <c r="Z67" s="778">
        <f>IF(AZ61=1,AZ62,AW65)</f>
        <v>0</v>
      </c>
      <c r="AA67" s="778"/>
      <c r="AB67" s="778"/>
      <c r="AC67" s="925"/>
      <c r="AD67" s="925"/>
      <c r="AE67" s="925"/>
      <c r="AF67" s="925"/>
      <c r="AG67" s="925"/>
      <c r="AH67" s="925"/>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3">
      <c r="B68" s="792"/>
      <c r="C68" s="792"/>
      <c r="D68" s="792"/>
      <c r="E68" s="792"/>
      <c r="F68" s="792"/>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3">
      <c r="B69" s="910" t="s">
        <v>1089</v>
      </c>
      <c r="C69" s="911"/>
      <c r="D69" s="911"/>
      <c r="E69" s="911"/>
      <c r="F69" s="911"/>
      <c r="G69" s="911"/>
      <c r="H69" s="911"/>
      <c r="I69" s="911"/>
      <c r="J69" s="911"/>
      <c r="K69" s="911"/>
      <c r="L69" s="911"/>
      <c r="M69" s="911"/>
      <c r="N69" s="911"/>
      <c r="O69" s="911"/>
      <c r="P69" s="911"/>
      <c r="Q69" s="1504"/>
      <c r="R69" s="1504"/>
      <c r="S69" s="1504"/>
      <c r="T69" s="1504"/>
      <c r="U69" s="1504"/>
      <c r="V69" s="1504"/>
      <c r="W69" s="1504"/>
      <c r="X69" s="1504"/>
      <c r="Y69" s="1504"/>
      <c r="Z69" s="1504"/>
      <c r="AA69" s="1504"/>
      <c r="AB69" s="1504"/>
      <c r="AC69" s="1504"/>
      <c r="AD69" s="1504"/>
      <c r="AE69" s="1504"/>
      <c r="AF69" s="1504"/>
      <c r="AG69" s="1504"/>
      <c r="AH69" s="1505"/>
      <c r="AI69" s="6"/>
      <c r="AJ69" s="6"/>
      <c r="AK69" s="6"/>
      <c r="AL69" s="671">
        <f>MAX(Q73,AE78)</f>
        <v>0</v>
      </c>
      <c r="AM69" s="771" t="s">
        <v>1019</v>
      </c>
      <c r="AN69" s="773"/>
      <c r="AO69" s="6"/>
      <c r="AP69" s="50" t="s">
        <v>192</v>
      </c>
      <c r="AQ69" s="50" t="s">
        <v>193</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3">
      <c r="B70" s="1030" t="s">
        <v>1085</v>
      </c>
      <c r="C70" s="1031"/>
      <c r="D70" s="1031"/>
      <c r="E70" s="1031"/>
      <c r="F70" s="1031"/>
      <c r="G70" s="1031"/>
      <c r="H70" s="1031"/>
      <c r="I70" s="1031"/>
      <c r="J70" s="1031"/>
      <c r="K70" s="1031"/>
      <c r="L70" s="947" t="s">
        <v>1087</v>
      </c>
      <c r="M70" s="947"/>
      <c r="N70" s="947"/>
      <c r="O70" s="947"/>
      <c r="P70" s="910"/>
      <c r="Q70" s="377"/>
      <c r="R70" s="324"/>
      <c r="S70" s="324"/>
      <c r="T70" s="324"/>
      <c r="U70" s="411"/>
      <c r="V70" s="911"/>
      <c r="W70" s="911"/>
      <c r="X70" s="911"/>
      <c r="Y70" s="315"/>
      <c r="Z70" s="315"/>
      <c r="AA70" s="315"/>
      <c r="AB70" s="315"/>
      <c r="AC70" s="315"/>
      <c r="AD70" s="315"/>
      <c r="AE70" s="309"/>
      <c r="AF70" s="313"/>
      <c r="AG70" s="313"/>
      <c r="AH70" s="314"/>
      <c r="AI70" s="6"/>
      <c r="AJ70" s="6"/>
      <c r="AK70" s="6"/>
      <c r="AL70" s="12" t="s">
        <v>1304</v>
      </c>
      <c r="AM70" s="13" t="s">
        <v>1306</v>
      </c>
      <c r="AN70" s="13" t="s">
        <v>1305</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3">
      <c r="B71" s="757" t="s">
        <v>137</v>
      </c>
      <c r="C71" s="758"/>
      <c r="D71" s="758"/>
      <c r="E71" s="758"/>
      <c r="F71" s="758"/>
      <c r="G71" s="758"/>
      <c r="H71" s="759"/>
      <c r="I71" s="817">
        <f>IF(I83&lt;AL3,"DOI&lt;2005",AP70)</f>
        <v>0</v>
      </c>
      <c r="J71" s="899"/>
      <c r="K71" s="900"/>
      <c r="L71" s="18" t="s">
        <v>1790</v>
      </c>
      <c r="M71" s="753">
        <v>0.31</v>
      </c>
      <c r="N71" s="754"/>
      <c r="O71" s="755"/>
      <c r="P71" s="18" t="s">
        <v>1792</v>
      </c>
      <c r="Q71" s="1469">
        <f>IF(I83&lt;AL3,"DOI&lt;2005",IF(AND(I71*M71&gt;0,I71*M71&lt;0.01),0.01,ROUND(I71*M71,2)))</f>
        <v>0</v>
      </c>
      <c r="R71" s="1470"/>
      <c r="S71" s="1470"/>
      <c r="T71" s="1470"/>
      <c r="U71" s="234"/>
      <c r="V71" s="1506" t="s">
        <v>599</v>
      </c>
      <c r="W71" s="1506"/>
      <c r="X71" s="1507"/>
      <c r="Y71" s="792"/>
      <c r="Z71" s="792"/>
      <c r="AA71" s="792"/>
      <c r="AB71" s="792"/>
      <c r="AC71" s="792"/>
      <c r="AD71" s="1135"/>
      <c r="AE71" s="1471" t="s">
        <v>1088</v>
      </c>
      <c r="AF71" s="1471"/>
      <c r="AG71" s="1471"/>
      <c r="AH71" s="1472"/>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3">
      <c r="B72" s="797" t="s">
        <v>138</v>
      </c>
      <c r="C72" s="798"/>
      <c r="D72" s="798"/>
      <c r="E72" s="798"/>
      <c r="F72" s="798"/>
      <c r="G72" s="798"/>
      <c r="H72" s="799"/>
      <c r="I72" s="1447">
        <f>IF(I83&lt;AL3,"DOI&lt;2005",AQ70)</f>
        <v>0</v>
      </c>
      <c r="J72" s="1448"/>
      <c r="K72" s="1449"/>
      <c r="L72" s="202" t="s">
        <v>1790</v>
      </c>
      <c r="M72" s="1466">
        <v>0.31</v>
      </c>
      <c r="N72" s="1467"/>
      <c r="O72" s="1468"/>
      <c r="P72" s="202" t="s">
        <v>1792</v>
      </c>
      <c r="Q72" s="1466">
        <f>IF(I83&lt;AL3,"DOI&lt;2005",IF(AND(I72*M72&gt;0,I72*M72&lt;0.01),0.01,ROUND(I72*M72,2)))</f>
        <v>0</v>
      </c>
      <c r="R72" s="1467"/>
      <c r="S72" s="1467"/>
      <c r="T72" s="1467"/>
      <c r="U72" s="20"/>
      <c r="V72" s="1508"/>
      <c r="W72" s="1508"/>
      <c r="X72" s="1509"/>
      <c r="Y72" s="322"/>
      <c r="Z72" s="322"/>
      <c r="AA72" s="322"/>
      <c r="AB72" s="322"/>
      <c r="AC72" s="322"/>
      <c r="AD72" s="195"/>
      <c r="AE72" s="1163"/>
      <c r="AF72" s="1163"/>
      <c r="AG72" s="1163"/>
      <c r="AH72" s="1164"/>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3">
      <c r="B73" s="1455" t="str">
        <f>IF(I83&lt;AL3,"",IF(AND(I71&gt;0,I72&gt;0),AM74,AL74))</f>
        <v>Monocular total</v>
      </c>
      <c r="C73" s="1456"/>
      <c r="D73" s="1456"/>
      <c r="E73" s="1456"/>
      <c r="F73" s="1456"/>
      <c r="G73" s="1456"/>
      <c r="H73" s="1456"/>
      <c r="I73" s="1456"/>
      <c r="J73" s="1456"/>
      <c r="K73" s="1456"/>
      <c r="L73" s="1456"/>
      <c r="M73" s="1456"/>
      <c r="N73" s="1456"/>
      <c r="O73" s="1457"/>
      <c r="P73" s="202" t="s">
        <v>1792</v>
      </c>
      <c r="Q73" s="742">
        <f>IF(I83&lt;AL3,"DOI&lt;2005",AN72)</f>
        <v>0</v>
      </c>
      <c r="R73" s="743"/>
      <c r="S73" s="743"/>
      <c r="T73" s="744"/>
      <c r="U73" s="20" t="s">
        <v>1790</v>
      </c>
      <c r="V73" s="814">
        <f>SAWW!D6</f>
        <v>0</v>
      </c>
      <c r="W73" s="1454"/>
      <c r="X73" s="1454"/>
      <c r="Y73" s="940" t="s">
        <v>603</v>
      </c>
      <c r="Z73" s="941"/>
      <c r="AA73" s="941"/>
      <c r="AB73" s="941"/>
      <c r="AC73" s="941"/>
      <c r="AD73" s="942"/>
      <c r="AE73" s="1451">
        <f>IF(I83&lt;AL3,"DOI&lt;2005",ROUND(Q73*V73*100,2))</f>
        <v>0</v>
      </c>
      <c r="AF73" s="1452"/>
      <c r="AG73" s="1452"/>
      <c r="AH73" s="1453"/>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3">
      <c r="B74" s="879" t="s">
        <v>880</v>
      </c>
      <c r="C74" s="880"/>
      <c r="D74" s="880"/>
      <c r="E74" s="880"/>
      <c r="F74" s="880"/>
      <c r="G74" s="880"/>
      <c r="H74" s="880"/>
      <c r="I74" s="880"/>
      <c r="J74" s="880"/>
      <c r="K74" s="880"/>
      <c r="L74" s="880"/>
      <c r="M74" s="880"/>
      <c r="N74" s="880"/>
      <c r="O74" s="880"/>
      <c r="P74" s="880"/>
      <c r="Q74" s="1446"/>
      <c r="R74" s="1446"/>
      <c r="S74" s="1"/>
      <c r="T74" s="1"/>
      <c r="U74" s="1"/>
      <c r="V74" s="1"/>
      <c r="W74" s="1"/>
      <c r="X74" s="1"/>
      <c r="Y74" s="1"/>
      <c r="Z74" s="1"/>
      <c r="AA74" s="1"/>
      <c r="AB74" s="1"/>
      <c r="AC74" s="1"/>
      <c r="AD74" s="1"/>
      <c r="AE74" s="1"/>
      <c r="AF74" s="1"/>
      <c r="AG74" s="1"/>
      <c r="AH74" s="157"/>
      <c r="AI74" s="6"/>
      <c r="AJ74" s="6"/>
      <c r="AK74" s="6"/>
      <c r="AL74" s="50" t="s">
        <v>1813</v>
      </c>
      <c r="AM74" s="1510" t="s">
        <v>1268</v>
      </c>
      <c r="AN74" s="1510"/>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3">
      <c r="B75" s="806" t="s">
        <v>749</v>
      </c>
      <c r="C75" s="806"/>
      <c r="D75" s="806"/>
      <c r="E75" s="806"/>
      <c r="F75" s="806"/>
      <c r="G75" s="806"/>
      <c r="H75" s="806"/>
      <c r="I75" s="806"/>
      <c r="J75" s="806"/>
      <c r="K75" s="806"/>
      <c r="L75" s="806"/>
      <c r="M75" s="806"/>
      <c r="N75" s="806"/>
      <c r="O75" s="806"/>
      <c r="P75" s="806"/>
      <c r="Q75" s="806"/>
      <c r="R75" s="806"/>
      <c r="S75" s="882">
        <f>IF(I83&lt;AL3,"DOI&lt;2005",MIN(AP70,AQ70))</f>
        <v>0</v>
      </c>
      <c r="T75" s="882"/>
      <c r="U75" s="882"/>
      <c r="V75" s="882"/>
      <c r="W75" s="882"/>
      <c r="X75" s="18" t="s">
        <v>1790</v>
      </c>
      <c r="Y75" s="747">
        <v>3</v>
      </c>
      <c r="Z75" s="751"/>
      <c r="AA75" s="752"/>
      <c r="AB75" s="940" t="s">
        <v>1792</v>
      </c>
      <c r="AC75" s="941"/>
      <c r="AD75" s="942"/>
      <c r="AE75" s="762">
        <f>IF(I83&lt;AL3,"DOI&lt;2005",S75*Y75)</f>
        <v>0</v>
      </c>
      <c r="AF75" s="762"/>
      <c r="AG75" s="762"/>
      <c r="AH75" s="762"/>
      <c r="AI75" s="6"/>
      <c r="AJ75" s="6"/>
      <c r="AK75" s="6"/>
      <c r="AL75" s="18">
        <f>IF(AND(AM75=1,I71&gt;0),"Right",IF(AND(AM75=1,I72&gt;0),"Left",0))</f>
        <v>0</v>
      </c>
      <c r="AM75" s="20">
        <f>IF(AND(I71=0,I72=0),0,IF(OR(I71=0,I72=0),1,IF(Q73&gt;S79,2,3)))</f>
        <v>0</v>
      </c>
      <c r="AN75" s="10" t="s">
        <v>2178</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3">
      <c r="B76" s="806" t="s">
        <v>750</v>
      </c>
      <c r="C76" s="806"/>
      <c r="D76" s="806"/>
      <c r="E76" s="806"/>
      <c r="F76" s="806"/>
      <c r="G76" s="806"/>
      <c r="H76" s="806"/>
      <c r="I76" s="806"/>
      <c r="J76" s="806"/>
      <c r="K76" s="806"/>
      <c r="L76" s="806"/>
      <c r="M76" s="806"/>
      <c r="N76" s="806"/>
      <c r="O76" s="806"/>
      <c r="P76" s="806"/>
      <c r="Q76" s="806"/>
      <c r="R76" s="806"/>
      <c r="S76" s="882">
        <f>AE75</f>
        <v>0</v>
      </c>
      <c r="T76" s="882"/>
      <c r="U76" s="882"/>
      <c r="V76" s="882"/>
      <c r="W76" s="882"/>
      <c r="X76" s="18" t="s">
        <v>1091</v>
      </c>
      <c r="Y76" s="817">
        <f>IF(I83&lt;AL3,"DOI&lt;2005",IF(S75=0,0,MAX(I71,I72)))</f>
        <v>0</v>
      </c>
      <c r="Z76" s="899"/>
      <c r="AA76" s="900"/>
      <c r="AB76" s="940" t="s">
        <v>1792</v>
      </c>
      <c r="AC76" s="941"/>
      <c r="AD76" s="942"/>
      <c r="AE76" s="882">
        <f>IF(I83&lt;AL3,"DOI&lt;2005",S76+Y76)</f>
        <v>0</v>
      </c>
      <c r="AF76" s="882"/>
      <c r="AG76" s="882"/>
      <c r="AH76" s="882"/>
      <c r="AI76" s="6"/>
      <c r="AJ76" s="6"/>
      <c r="AK76" s="6"/>
      <c r="AL76" s="10" t="s">
        <v>1094</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3">
      <c r="B77" s="806" t="s">
        <v>751</v>
      </c>
      <c r="C77" s="806"/>
      <c r="D77" s="806"/>
      <c r="E77" s="806"/>
      <c r="F77" s="806"/>
      <c r="G77" s="806"/>
      <c r="H77" s="806"/>
      <c r="I77" s="806"/>
      <c r="J77" s="806"/>
      <c r="K77" s="806"/>
      <c r="L77" s="806"/>
      <c r="M77" s="806"/>
      <c r="N77" s="806"/>
      <c r="O77" s="806"/>
      <c r="P77" s="806"/>
      <c r="Q77" s="806"/>
      <c r="R77" s="806"/>
      <c r="S77" s="1465">
        <f>AE76</f>
        <v>0</v>
      </c>
      <c r="T77" s="1465"/>
      <c r="U77" s="1465"/>
      <c r="V77" s="1465"/>
      <c r="W77" s="1465"/>
      <c r="X77" s="202" t="s">
        <v>481</v>
      </c>
      <c r="Y77" s="747">
        <v>4</v>
      </c>
      <c r="Z77" s="751"/>
      <c r="AA77" s="752"/>
      <c r="AB77" s="940" t="s">
        <v>1792</v>
      </c>
      <c r="AC77" s="941"/>
      <c r="AD77" s="942"/>
      <c r="AE77" s="1503">
        <f>IF(I83&lt;AL3,"DOI&lt;2005",S77/Y77)</f>
        <v>0</v>
      </c>
      <c r="AF77" s="1503"/>
      <c r="AG77" s="1503"/>
      <c r="AH77" s="1503"/>
      <c r="AI77" s="6"/>
      <c r="AJ77" s="6"/>
      <c r="AK77" s="6"/>
      <c r="AL77" s="2" t="s">
        <v>1095</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3">
      <c r="B78" s="757" t="s">
        <v>1086</v>
      </c>
      <c r="C78" s="758"/>
      <c r="D78" s="758"/>
      <c r="E78" s="758"/>
      <c r="F78" s="758"/>
      <c r="G78" s="758"/>
      <c r="H78" s="758"/>
      <c r="I78" s="758"/>
      <c r="J78" s="758"/>
      <c r="K78" s="758"/>
      <c r="L78" s="758"/>
      <c r="M78" s="758"/>
      <c r="N78" s="758"/>
      <c r="O78" s="758"/>
      <c r="P78" s="758"/>
      <c r="Q78" s="758"/>
      <c r="R78" s="759"/>
      <c r="S78" s="882">
        <f>AE77</f>
        <v>0</v>
      </c>
      <c r="T78" s="882"/>
      <c r="U78" s="882"/>
      <c r="V78" s="882"/>
      <c r="W78" s="882"/>
      <c r="X78" s="18" t="s">
        <v>1790</v>
      </c>
      <c r="Y78" s="742">
        <v>0.94</v>
      </c>
      <c r="Z78" s="743"/>
      <c r="AA78" s="743"/>
      <c r="AB78" s="925" t="s">
        <v>1792</v>
      </c>
      <c r="AC78" s="925"/>
      <c r="AD78" s="925"/>
      <c r="AE78" s="753">
        <f>IF(I83&lt;AL3,"DOI&lt;2005",IF(AND(S78*Y78&gt;0,S78*Y78&lt;0.01),0.01,ROUND(S78*Y78,2)))</f>
        <v>0</v>
      </c>
      <c r="AF78" s="754"/>
      <c r="AG78" s="754"/>
      <c r="AH78" s="755"/>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3">
      <c r="B79" s="776" t="s">
        <v>1114</v>
      </c>
      <c r="C79" s="776"/>
      <c r="D79" s="776"/>
      <c r="E79" s="776"/>
      <c r="F79" s="776"/>
      <c r="G79" s="776"/>
      <c r="H79" s="776"/>
      <c r="I79" s="776"/>
      <c r="J79" s="776"/>
      <c r="K79" s="776"/>
      <c r="L79" s="776"/>
      <c r="M79" s="776"/>
      <c r="N79" s="776"/>
      <c r="O79" s="776"/>
      <c r="P79" s="776"/>
      <c r="Q79" s="776"/>
      <c r="R79" s="776"/>
      <c r="S79" s="1079">
        <f>AE78</f>
        <v>0</v>
      </c>
      <c r="T79" s="1463"/>
      <c r="U79" s="1463"/>
      <c r="V79" s="1463"/>
      <c r="W79" s="1187"/>
      <c r="X79" s="18" t="s">
        <v>1790</v>
      </c>
      <c r="Y79" s="1045">
        <f>SAWW!D6</f>
        <v>0</v>
      </c>
      <c r="Z79" s="1045"/>
      <c r="AA79" s="1045"/>
      <c r="AB79" s="925" t="s">
        <v>603</v>
      </c>
      <c r="AC79" s="925"/>
      <c r="AD79" s="925"/>
      <c r="AE79" s="1450">
        <f>IF(I83&lt;AL3,"DOI&lt;2005",ROUND(S79*Y79*100,2))</f>
        <v>0</v>
      </c>
      <c r="AF79" s="1450"/>
      <c r="AG79" s="1450"/>
      <c r="AH79" s="1450"/>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3">
      <c r="B80" s="1464" t="str">
        <f>IF(OR(I83&lt;AL3,S75=0),"",IF(AE73&gt;AE79,AL76,IF(AE80&gt;=AE73,AL77,"")))</f>
        <v/>
      </c>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50">
        <f>IF(I83&lt;AL3,"DOI&lt;2005",IF(S75=0,0,MAX(AE73,AE79)))</f>
        <v>0</v>
      </c>
      <c r="AF80" s="1450"/>
      <c r="AG80" s="1450"/>
      <c r="AH80" s="1450"/>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3">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3">
      <c r="B82" s="910" t="s">
        <v>879</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1"/>
      <c r="AF82" s="911"/>
      <c r="AG82" s="911"/>
      <c r="AH82" s="912"/>
      <c r="AI82" s="6"/>
      <c r="AJ82" s="6"/>
      <c r="AK82" s="6"/>
      <c r="AL82" s="217"/>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35">
      <c r="B83" s="288" t="s">
        <v>1188</v>
      </c>
      <c r="C83" s="223"/>
      <c r="D83" s="223"/>
      <c r="E83" s="223"/>
      <c r="F83" s="223"/>
      <c r="G83" s="223"/>
      <c r="H83" s="223"/>
      <c r="I83" s="1332" t="str">
        <f>IF('Start here'!A8="","",'Start here'!A8)</f>
        <v/>
      </c>
      <c r="J83" s="1444"/>
      <c r="K83" s="1444"/>
      <c r="L83" s="1445"/>
      <c r="M83" s="1511" t="str">
        <f>IF(I83="","Enter date of injury on 'Start here' worksheet.","")</f>
        <v>Enter date of injury on 'Start here' worksheet.</v>
      </c>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3"/>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3">
      <c r="B84" s="1030" t="s">
        <v>1085</v>
      </c>
      <c r="C84" s="1031"/>
      <c r="D84" s="1031"/>
      <c r="E84" s="1031"/>
      <c r="F84" s="1031"/>
      <c r="G84" s="1031"/>
      <c r="H84" s="1031"/>
      <c r="I84" s="1031"/>
      <c r="J84" s="1031"/>
      <c r="K84" s="1031"/>
      <c r="L84" s="1032"/>
      <c r="M84" s="947" t="s">
        <v>1795</v>
      </c>
      <c r="N84" s="947"/>
      <c r="O84" s="947"/>
      <c r="P84" s="947"/>
      <c r="Q84" s="320"/>
      <c r="R84" s="1143" t="s">
        <v>104</v>
      </c>
      <c r="S84" s="1143"/>
      <c r="T84" s="1143"/>
      <c r="U84" s="320"/>
      <c r="V84" s="947" t="s">
        <v>365</v>
      </c>
      <c r="W84" s="947"/>
      <c r="X84" s="947"/>
      <c r="Y84" s="146"/>
      <c r="Z84" s="947" t="s">
        <v>1889</v>
      </c>
      <c r="AA84" s="947"/>
      <c r="AB84" s="947"/>
      <c r="AC84" s="947"/>
      <c r="AD84" s="320"/>
      <c r="AE84" s="878" t="s">
        <v>1191</v>
      </c>
      <c r="AF84" s="878"/>
      <c r="AG84" s="878"/>
      <c r="AH84" s="878"/>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3">
      <c r="B85" s="806" t="s">
        <v>1115</v>
      </c>
      <c r="C85" s="806"/>
      <c r="D85" s="806"/>
      <c r="E85" s="806"/>
      <c r="F85" s="806"/>
      <c r="G85" s="806"/>
      <c r="H85" s="806"/>
      <c r="I85" s="806"/>
      <c r="J85" s="806"/>
      <c r="K85" s="806"/>
      <c r="L85" s="806"/>
      <c r="M85" s="770">
        <f>IF(I83="",0,IF(I83&gt;=AL3,"DOI&gt;2004",IF(AND(AP70&gt;0,AP70&lt;0.01),0.01,ROUND(AP70,2))))</f>
        <v>0</v>
      </c>
      <c r="N85" s="770"/>
      <c r="O85" s="770"/>
      <c r="P85" s="770"/>
      <c r="Q85" s="18" t="s">
        <v>1790</v>
      </c>
      <c r="R85" s="746">
        <v>100</v>
      </c>
      <c r="S85" s="746"/>
      <c r="T85" s="746"/>
      <c r="U85" s="18" t="s">
        <v>1792</v>
      </c>
      <c r="V85" s="860">
        <f>IF(I83="",0,IF(I83&gt;=AL3,"DOI&gt;2004",ROUND(M85*R85,2)))</f>
        <v>0</v>
      </c>
      <c r="W85" s="860"/>
      <c r="X85" s="860"/>
      <c r="Y85" s="18" t="s">
        <v>1790</v>
      </c>
      <c r="Z85" s="913" t="e">
        <f>'Dol Per Deg'!H11</f>
        <v>#N/A</v>
      </c>
      <c r="AA85" s="913"/>
      <c r="AB85" s="913"/>
      <c r="AC85" s="913"/>
      <c r="AD85" s="18" t="s">
        <v>1792</v>
      </c>
      <c r="AE85" s="1514">
        <f>IF(I83="",0,IF(I83&gt;=AL3,"DOI&gt;2004",ROUND(M85*R85*Z85,2)))</f>
        <v>0</v>
      </c>
      <c r="AF85" s="1514"/>
      <c r="AG85" s="1514"/>
      <c r="AH85" s="1514"/>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3">
      <c r="B86" s="806" t="s">
        <v>1116</v>
      </c>
      <c r="C86" s="806"/>
      <c r="D86" s="806"/>
      <c r="E86" s="806"/>
      <c r="F86" s="806"/>
      <c r="G86" s="806"/>
      <c r="H86" s="806"/>
      <c r="I86" s="806"/>
      <c r="J86" s="806"/>
      <c r="K86" s="806"/>
      <c r="L86" s="806"/>
      <c r="M86" s="770">
        <f>IF(I83="",0,IF(I83&gt;=AL3,"DOI&gt;2004",IF(AND(AQ70&gt;0,AQ70&lt;0.01),0.01,ROUND(AQ70,2))))</f>
        <v>0</v>
      </c>
      <c r="N86" s="770"/>
      <c r="O86" s="770"/>
      <c r="P86" s="770"/>
      <c r="Q86" s="18" t="s">
        <v>1790</v>
      </c>
      <c r="R86" s="746">
        <v>100</v>
      </c>
      <c r="S86" s="746"/>
      <c r="T86" s="746"/>
      <c r="U86" s="18" t="s">
        <v>1792</v>
      </c>
      <c r="V86" s="860">
        <f>IF(I83="",0,IF(I83&gt;=AL3,"DOI&gt;2004",ROUND(M86*R86,2)))</f>
        <v>0</v>
      </c>
      <c r="W86" s="860"/>
      <c r="X86" s="860"/>
      <c r="Y86" s="18" t="s">
        <v>1790</v>
      </c>
      <c r="Z86" s="913" t="e">
        <f>'Dol Per Deg'!H11</f>
        <v>#N/A</v>
      </c>
      <c r="AA86" s="913"/>
      <c r="AB86" s="913"/>
      <c r="AC86" s="913"/>
      <c r="AD86" s="18" t="s">
        <v>1792</v>
      </c>
      <c r="AE86" s="1514">
        <f>IF(I83="",0,IF(I83&gt;=AL3,"DOI&gt;2004",ROUND(M86*R86*Z86,2)))</f>
        <v>0</v>
      </c>
      <c r="AF86" s="1514"/>
      <c r="AG86" s="1514"/>
      <c r="AH86" s="1514"/>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3">
      <c r="B87" s="1455" t="s">
        <v>918</v>
      </c>
      <c r="C87" s="1456"/>
      <c r="D87" s="1456"/>
      <c r="E87" s="1456"/>
      <c r="F87" s="1456"/>
      <c r="G87" s="1456"/>
      <c r="H87" s="1456"/>
      <c r="I87" s="1456"/>
      <c r="J87" s="1456"/>
      <c r="K87" s="1456"/>
      <c r="L87" s="1456"/>
      <c r="M87" s="1456"/>
      <c r="N87" s="1456"/>
      <c r="O87" s="1456"/>
      <c r="P87" s="1456"/>
      <c r="Q87" s="1456"/>
      <c r="R87" s="1456"/>
      <c r="S87" s="1456"/>
      <c r="T87" s="1456"/>
      <c r="U87" s="1456"/>
      <c r="V87" s="1456"/>
      <c r="W87" s="1456"/>
      <c r="X87" s="1456"/>
      <c r="Y87" s="1456"/>
      <c r="Z87" s="1456"/>
      <c r="AA87" s="1456"/>
      <c r="AB87" s="1456"/>
      <c r="AC87" s="1457"/>
      <c r="AD87" s="18" t="s">
        <v>1792</v>
      </c>
      <c r="AE87" s="1515">
        <f>IF(I83="",0,IF(I83&gt;=AL3,"DOI&gt;2004",SUM(AE85:AH86)))</f>
        <v>0</v>
      </c>
      <c r="AF87" s="1515"/>
      <c r="AG87" s="1515"/>
      <c r="AH87" s="1515"/>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3">
      <c r="B88" s="1502"/>
      <c r="C88" s="1165"/>
      <c r="D88" s="1165"/>
      <c r="E88" s="1165"/>
      <c r="F88" s="1165"/>
      <c r="G88" s="1165"/>
      <c r="H88" s="1165"/>
      <c r="I88" s="1165"/>
      <c r="J88" s="1165"/>
      <c r="K88" s="1165"/>
      <c r="L88" s="1165"/>
      <c r="M88" s="1165"/>
      <c r="N88" s="1165"/>
      <c r="O88" s="1165"/>
      <c r="P88" s="1165"/>
      <c r="Q88" s="1165"/>
      <c r="R88" s="1165"/>
      <c r="AH88" s="321"/>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3">
      <c r="B89" s="806" t="s">
        <v>749</v>
      </c>
      <c r="C89" s="806"/>
      <c r="D89" s="806"/>
      <c r="E89" s="806"/>
      <c r="F89" s="806"/>
      <c r="G89" s="806"/>
      <c r="H89" s="806"/>
      <c r="I89" s="806"/>
      <c r="J89" s="806"/>
      <c r="K89" s="806"/>
      <c r="L89" s="806"/>
      <c r="M89" s="806"/>
      <c r="N89" s="806"/>
      <c r="O89" s="806"/>
      <c r="P89" s="806"/>
      <c r="Q89" s="806"/>
      <c r="R89" s="806"/>
      <c r="S89" s="762">
        <f>IF(I83="",0,IF(I83&gt;=AL3,"DOI&gt;2004",MIN(AP70,AQ70)))</f>
        <v>0</v>
      </c>
      <c r="T89" s="762"/>
      <c r="U89" s="762"/>
      <c r="V89" s="762"/>
      <c r="W89" s="762"/>
      <c r="X89" s="18" t="s">
        <v>1790</v>
      </c>
      <c r="Y89" s="746">
        <v>3</v>
      </c>
      <c r="Z89" s="746"/>
      <c r="AA89" s="746"/>
      <c r="AB89" s="746"/>
      <c r="AC89" s="746"/>
      <c r="AD89" s="18" t="s">
        <v>1792</v>
      </c>
      <c r="AE89" s="762">
        <f>IF(I83="",0,IF(I83&gt;=AL3,"DOI&gt;2004",S89*Y89))</f>
        <v>0</v>
      </c>
      <c r="AF89" s="762"/>
      <c r="AG89" s="762"/>
      <c r="AH89" s="762"/>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3">
      <c r="B90" s="806" t="s">
        <v>750</v>
      </c>
      <c r="C90" s="806"/>
      <c r="D90" s="806"/>
      <c r="E90" s="806"/>
      <c r="F90" s="806"/>
      <c r="G90" s="806"/>
      <c r="H90" s="806"/>
      <c r="I90" s="806"/>
      <c r="J90" s="806"/>
      <c r="K90" s="806"/>
      <c r="L90" s="806"/>
      <c r="M90" s="806"/>
      <c r="N90" s="806"/>
      <c r="O90" s="806"/>
      <c r="P90" s="806"/>
      <c r="Q90" s="806"/>
      <c r="R90" s="806"/>
      <c r="S90" s="762">
        <f>AE89</f>
        <v>0</v>
      </c>
      <c r="T90" s="762"/>
      <c r="U90" s="762"/>
      <c r="V90" s="762"/>
      <c r="W90" s="762"/>
      <c r="X90" s="18" t="s">
        <v>1091</v>
      </c>
      <c r="Y90" s="762">
        <f>IF(I83="",0,IF(I83&gt;=AL3,"DOI&gt;2004",MAX(AP70,AQ70)))</f>
        <v>0</v>
      </c>
      <c r="Z90" s="762"/>
      <c r="AA90" s="762"/>
      <c r="AB90" s="762"/>
      <c r="AC90" s="762"/>
      <c r="AD90" s="18" t="s">
        <v>1792</v>
      </c>
      <c r="AE90" s="762">
        <f>IF(I83="",0,IF(I83&gt;=AL3,"DOI&gt;2004",S90+Y90))</f>
        <v>0</v>
      </c>
      <c r="AF90" s="762"/>
      <c r="AG90" s="762"/>
      <c r="AH90" s="762"/>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3">
      <c r="B91" s="806" t="s">
        <v>751</v>
      </c>
      <c r="C91" s="806"/>
      <c r="D91" s="806"/>
      <c r="E91" s="806"/>
      <c r="F91" s="806"/>
      <c r="G91" s="806"/>
      <c r="H91" s="806"/>
      <c r="I91" s="806"/>
      <c r="J91" s="806"/>
      <c r="K91" s="806"/>
      <c r="L91" s="806"/>
      <c r="M91" s="806"/>
      <c r="N91" s="806"/>
      <c r="O91" s="806"/>
      <c r="P91" s="806"/>
      <c r="Q91" s="806"/>
      <c r="R91" s="806"/>
      <c r="S91" s="762">
        <f>AE90</f>
        <v>0</v>
      </c>
      <c r="T91" s="762"/>
      <c r="U91" s="762"/>
      <c r="V91" s="762"/>
      <c r="W91" s="762"/>
      <c r="X91" s="18" t="s">
        <v>481</v>
      </c>
      <c r="Y91" s="746">
        <v>4</v>
      </c>
      <c r="Z91" s="746"/>
      <c r="AA91" s="746"/>
      <c r="AB91" s="746"/>
      <c r="AC91" s="746"/>
      <c r="AD91" s="18" t="s">
        <v>1792</v>
      </c>
      <c r="AE91" s="936">
        <f>IF(I83="",0,IF(I83&gt;=AL3,"DOI&gt;2004",IF(AND(S91/Y91&gt;0,S91/Y91&lt;0.01),0.01,ROUND(S91/Y91,2))))</f>
        <v>0</v>
      </c>
      <c r="AF91" s="936"/>
      <c r="AG91" s="936"/>
      <c r="AH91" s="936"/>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3">
      <c r="B92" s="88"/>
      <c r="C92" s="6"/>
      <c r="D92" s="6"/>
      <c r="E92" s="6"/>
      <c r="F92" s="6"/>
      <c r="G92" s="6"/>
      <c r="H92" s="6"/>
      <c r="I92" s="6"/>
      <c r="J92" s="6"/>
      <c r="K92" s="6"/>
      <c r="L92" s="6"/>
      <c r="M92" s="6"/>
      <c r="N92" s="6"/>
      <c r="O92" s="6"/>
      <c r="P92" s="6"/>
      <c r="Q92" s="6"/>
      <c r="R92" s="6"/>
      <c r="S92" s="213"/>
      <c r="T92" s="213"/>
      <c r="U92" s="213"/>
      <c r="V92" s="213"/>
      <c r="W92" s="213"/>
      <c r="X92" s="1"/>
      <c r="Y92" s="1"/>
      <c r="Z92" s="1"/>
      <c r="AA92" s="1"/>
      <c r="AB92" s="1"/>
      <c r="AC92" s="1"/>
      <c r="AD92" s="1"/>
      <c r="AE92" s="213"/>
      <c r="AF92" s="213"/>
      <c r="AG92" s="213"/>
      <c r="AH92" s="289"/>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3">
      <c r="B93" s="947"/>
      <c r="C93" s="947"/>
      <c r="D93" s="947"/>
      <c r="E93" s="947"/>
      <c r="F93" s="947"/>
      <c r="G93" s="947"/>
      <c r="H93" s="947"/>
      <c r="I93" s="947"/>
      <c r="J93" s="947"/>
      <c r="K93" s="947"/>
      <c r="L93" s="947"/>
      <c r="M93" s="947" t="s">
        <v>1795</v>
      </c>
      <c r="N93" s="947"/>
      <c r="O93" s="947"/>
      <c r="P93" s="947"/>
      <c r="Q93" s="320"/>
      <c r="R93" s="1143" t="s">
        <v>104</v>
      </c>
      <c r="S93" s="1143"/>
      <c r="T93" s="1143"/>
      <c r="U93" s="320"/>
      <c r="V93" s="947" t="s">
        <v>365</v>
      </c>
      <c r="W93" s="947"/>
      <c r="X93" s="947"/>
      <c r="Y93" s="146"/>
      <c r="Z93" s="947" t="s">
        <v>1889</v>
      </c>
      <c r="AA93" s="947"/>
      <c r="AB93" s="947"/>
      <c r="AC93" s="947"/>
      <c r="AD93" s="320"/>
      <c r="AE93" s="878" t="s">
        <v>1191</v>
      </c>
      <c r="AF93" s="878"/>
      <c r="AG93" s="878"/>
      <c r="AH93" s="878"/>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3">
      <c r="B94" s="879" t="s">
        <v>1117</v>
      </c>
      <c r="C94" s="880"/>
      <c r="D94" s="880"/>
      <c r="E94" s="880"/>
      <c r="F94" s="880"/>
      <c r="G94" s="880"/>
      <c r="H94" s="880"/>
      <c r="I94" s="880"/>
      <c r="J94" s="880"/>
      <c r="K94" s="880"/>
      <c r="L94" s="881"/>
      <c r="M94" s="770">
        <f>AE91</f>
        <v>0</v>
      </c>
      <c r="N94" s="770"/>
      <c r="O94" s="770"/>
      <c r="P94" s="770"/>
      <c r="Q94" s="18" t="s">
        <v>1790</v>
      </c>
      <c r="R94" s="746">
        <v>300</v>
      </c>
      <c r="S94" s="746"/>
      <c r="T94" s="746"/>
      <c r="U94" s="18" t="s">
        <v>1792</v>
      </c>
      <c r="V94" s="860">
        <f>IF(I83="",0,IF(I83&gt;=AL3,"DOI&gt;2004",ROUND(M94*R94,2)))</f>
        <v>0</v>
      </c>
      <c r="W94" s="860"/>
      <c r="X94" s="860"/>
      <c r="Y94" s="18" t="s">
        <v>1790</v>
      </c>
      <c r="Z94" s="913" t="e">
        <f>'Dol Per Deg'!H11</f>
        <v>#N/A</v>
      </c>
      <c r="AA94" s="913"/>
      <c r="AB94" s="913"/>
      <c r="AC94" s="913"/>
      <c r="AD94" s="18" t="s">
        <v>1792</v>
      </c>
      <c r="AE94" s="1450">
        <f>IF(I83="",0,IF(I83&gt;=AL3,"DOI&gt;2004",ROUND(V94*Z94,2)))</f>
        <v>0</v>
      </c>
      <c r="AF94" s="1450"/>
      <c r="AG94" s="1450"/>
      <c r="AH94" s="1450"/>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3">
      <c r="B95" s="1443" t="str">
        <f>IF(OR(I83&gt;=AL3,AE95=0),"",IF(AE87&gt;AE94,AL76,IF(AE94&gt;=AE87,AL77,"")))</f>
        <v/>
      </c>
      <c r="C95" s="1443"/>
      <c r="D95" s="1443"/>
      <c r="E95" s="1443"/>
      <c r="F95" s="1443"/>
      <c r="G95" s="1443"/>
      <c r="H95" s="1443"/>
      <c r="I95" s="1443"/>
      <c r="J95" s="1443"/>
      <c r="K95" s="1443"/>
      <c r="L95" s="1443"/>
      <c r="M95" s="1443"/>
      <c r="N95" s="1443"/>
      <c r="O95" s="1443"/>
      <c r="P95" s="1443"/>
      <c r="Q95" s="1443"/>
      <c r="R95" s="1443"/>
      <c r="S95" s="1443"/>
      <c r="T95" s="1443"/>
      <c r="U95" s="1443"/>
      <c r="V95" s="1443"/>
      <c r="W95" s="1443"/>
      <c r="X95" s="1443"/>
      <c r="Y95" s="1443"/>
      <c r="Z95" s="1443"/>
      <c r="AA95" s="1443"/>
      <c r="AB95" s="1443"/>
      <c r="AC95" s="1443"/>
      <c r="AD95" s="1443"/>
      <c r="AE95" s="1450">
        <f>IF(I83="",0,IF(I83&gt;=AL3,"DOI&gt;2004",MAX(AE87,AE94)))</f>
        <v>0</v>
      </c>
      <c r="AF95" s="1450"/>
      <c r="AG95" s="1450"/>
      <c r="AH95" s="1450"/>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3">
      <c r="B96" s="1458" t="s">
        <v>947</v>
      </c>
      <c r="C96" s="1459"/>
      <c r="D96" s="1459"/>
      <c r="E96" s="1459"/>
      <c r="F96" s="1459"/>
      <c r="G96" s="1459"/>
      <c r="H96" s="1459"/>
      <c r="I96" s="1459"/>
      <c r="J96" s="1459"/>
      <c r="K96" s="1459"/>
      <c r="L96" s="1459"/>
      <c r="M96" s="1459"/>
      <c r="N96" s="1459"/>
      <c r="O96" s="1459"/>
      <c r="P96" s="1459"/>
      <c r="Q96" s="1459"/>
      <c r="R96" s="1459"/>
      <c r="S96" s="1459"/>
      <c r="T96" s="1459"/>
      <c r="U96" s="1459"/>
      <c r="V96" s="1459"/>
      <c r="W96" s="1459"/>
      <c r="X96" s="1459"/>
      <c r="Y96" s="1459"/>
      <c r="Z96" s="1459"/>
      <c r="AA96" s="1459"/>
      <c r="AB96" s="1459"/>
      <c r="AC96" s="1459"/>
      <c r="AD96" s="1459"/>
      <c r="AE96" s="1459"/>
      <c r="AF96" s="1459"/>
      <c r="AG96" s="1459"/>
      <c r="AH96" s="1460"/>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3">
      <c r="B97" s="1461" t="s">
        <v>790</v>
      </c>
      <c r="C97" s="1461"/>
      <c r="D97" s="1461"/>
      <c r="E97" s="1461"/>
      <c r="F97" s="1461"/>
      <c r="G97" s="1461"/>
      <c r="H97" s="1461"/>
      <c r="I97" s="1461"/>
      <c r="J97" s="1461"/>
      <c r="K97" s="1462" t="str">
        <f>IF(AN4&lt;&gt;"",AN4,"")</f>
        <v>Go to PPD Worksheet</v>
      </c>
      <c r="L97" s="1462"/>
      <c r="M97" s="1462"/>
      <c r="N97" s="1462"/>
      <c r="O97" s="1462"/>
      <c r="P97" s="1462"/>
      <c r="Q97" s="1462"/>
      <c r="R97" s="1462"/>
      <c r="S97" s="1462"/>
      <c r="T97" s="1462" t="str">
        <f>IF(AL4&lt;&gt;"",AL4,"")</f>
        <v/>
      </c>
      <c r="U97" s="1462"/>
      <c r="V97" s="1462"/>
      <c r="W97" s="1462"/>
      <c r="X97" s="1462"/>
      <c r="Y97" s="1462"/>
      <c r="Z97" s="1462"/>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3">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3">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3">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3">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3">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3">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3">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3">
      <c r="B105" s="39"/>
      <c r="C105" s="756" t="s">
        <v>2264</v>
      </c>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3">
      <c r="B106" s="39"/>
      <c r="C106" s="181">
        <v>0.01</v>
      </c>
      <c r="D106" s="181">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3">
      <c r="C107" s="146" t="s">
        <v>1808</v>
      </c>
      <c r="D107" s="146" t="s">
        <v>1809</v>
      </c>
      <c r="E107" s="146" t="s">
        <v>752</v>
      </c>
      <c r="F107" s="146" t="s">
        <v>470</v>
      </c>
      <c r="G107" s="146" t="s">
        <v>753</v>
      </c>
      <c r="H107" s="146" t="s">
        <v>754</v>
      </c>
      <c r="I107" s="146" t="s">
        <v>755</v>
      </c>
      <c r="J107" s="146" t="s">
        <v>756</v>
      </c>
      <c r="K107" s="146" t="s">
        <v>757</v>
      </c>
      <c r="L107" s="146" t="s">
        <v>758</v>
      </c>
      <c r="M107" s="146" t="s">
        <v>759</v>
      </c>
      <c r="N107" s="146" t="s">
        <v>760</v>
      </c>
      <c r="O107" s="146" t="s">
        <v>761</v>
      </c>
      <c r="P107" s="146" t="s">
        <v>762</v>
      </c>
      <c r="Q107" s="146" t="s">
        <v>763</v>
      </c>
      <c r="R107" s="146" t="s">
        <v>764</v>
      </c>
      <c r="S107" s="146" t="s">
        <v>765</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3">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12" customFormat="1" hidden="1" x14ac:dyDescent="0.3">
      <c r="C109" s="412" t="s">
        <v>1521</v>
      </c>
      <c r="D109" s="412" t="s">
        <v>1522</v>
      </c>
      <c r="E109" s="412" t="s">
        <v>1523</v>
      </c>
      <c r="F109" s="412" t="s">
        <v>1539</v>
      </c>
      <c r="G109" s="412" t="s">
        <v>1540</v>
      </c>
      <c r="H109" s="412" t="s">
        <v>1541</v>
      </c>
      <c r="I109" s="412" t="s">
        <v>1542</v>
      </c>
      <c r="J109" s="412" t="s">
        <v>988</v>
      </c>
      <c r="K109" s="412" t="s">
        <v>989</v>
      </c>
      <c r="L109" s="412" t="s">
        <v>990</v>
      </c>
      <c r="M109" s="412" t="s">
        <v>991</v>
      </c>
      <c r="N109" s="412" t="s">
        <v>992</v>
      </c>
      <c r="O109" s="412" t="s">
        <v>993</v>
      </c>
      <c r="P109" s="412" t="s">
        <v>1394</v>
      </c>
      <c r="Q109" s="412" t="s">
        <v>1395</v>
      </c>
      <c r="R109" s="2" t="s">
        <v>764</v>
      </c>
      <c r="S109" s="2" t="s">
        <v>765</v>
      </c>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6"/>
      <c r="DF109" s="6"/>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row>
    <row r="110" spans="2:193" hidden="1" x14ac:dyDescent="0.3">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3">
      <c r="C111" s="2" t="s">
        <v>1396</v>
      </c>
      <c r="D111" s="2" t="s">
        <v>1397</v>
      </c>
      <c r="E111" s="2" t="s">
        <v>1398</v>
      </c>
      <c r="F111" s="2" t="s">
        <v>1399</v>
      </c>
      <c r="G111" s="2" t="s">
        <v>1400</v>
      </c>
      <c r="H111" s="2" t="s">
        <v>1401</v>
      </c>
      <c r="I111" s="2" t="s">
        <v>1402</v>
      </c>
      <c r="J111" s="2" t="s">
        <v>1403</v>
      </c>
      <c r="K111" s="2" t="s">
        <v>747</v>
      </c>
      <c r="L111" s="2" t="s">
        <v>748</v>
      </c>
      <c r="M111" s="2" t="s">
        <v>510</v>
      </c>
      <c r="N111" s="2" t="s">
        <v>1108</v>
      </c>
      <c r="O111" s="2" t="s">
        <v>1109</v>
      </c>
      <c r="P111" s="2" t="s">
        <v>1110</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3">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3">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3">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3">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3">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3">
      <c r="C117" s="2" t="s">
        <v>1111</v>
      </c>
      <c r="D117" s="2" t="s">
        <v>1112</v>
      </c>
      <c r="E117" s="2" t="s">
        <v>229</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3">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3">
      <c r="C119" s="413">
        <v>0</v>
      </c>
      <c r="D119" s="413">
        <v>-1</v>
      </c>
      <c r="E119" s="413">
        <v>-2</v>
      </c>
      <c r="F119" s="413">
        <v>-3</v>
      </c>
      <c r="G119" s="413">
        <v>-4</v>
      </c>
      <c r="H119" s="413">
        <v>-5</v>
      </c>
      <c r="I119" s="413">
        <v>-6</v>
      </c>
      <c r="J119" s="413">
        <v>-7</v>
      </c>
      <c r="K119" s="413">
        <v>-8</v>
      </c>
      <c r="L119" s="413">
        <v>-9</v>
      </c>
      <c r="M119" s="413">
        <v>-10</v>
      </c>
      <c r="N119" s="413">
        <v>-11</v>
      </c>
      <c r="O119" s="413">
        <v>-12</v>
      </c>
      <c r="P119" s="413">
        <v>-13</v>
      </c>
      <c r="Q119" s="413">
        <v>-14</v>
      </c>
      <c r="R119" s="413">
        <v>-15</v>
      </c>
      <c r="S119" s="413">
        <v>-16</v>
      </c>
      <c r="T119" s="413">
        <v>-17</v>
      </c>
      <c r="U119" s="413">
        <v>-18</v>
      </c>
      <c r="V119" s="413">
        <v>-19</v>
      </c>
      <c r="W119" s="413">
        <v>-20</v>
      </c>
      <c r="X119" s="413">
        <v>-21</v>
      </c>
      <c r="Y119" s="413">
        <v>-22</v>
      </c>
      <c r="Z119" s="413">
        <v>-23</v>
      </c>
      <c r="AA119" s="413">
        <v>-24</v>
      </c>
      <c r="AB119" s="413">
        <v>-25</v>
      </c>
      <c r="AC119" s="413">
        <v>-26</v>
      </c>
      <c r="AD119" s="413">
        <v>-27</v>
      </c>
      <c r="AE119" s="413">
        <v>-28</v>
      </c>
      <c r="AF119" s="413">
        <v>-29</v>
      </c>
      <c r="AG119" s="413">
        <v>-30</v>
      </c>
      <c r="AH119" s="413">
        <v>-31</v>
      </c>
      <c r="AI119" s="126">
        <v>-32</v>
      </c>
      <c r="AJ119" s="126">
        <v>-33</v>
      </c>
      <c r="AK119" s="126">
        <v>-34</v>
      </c>
      <c r="AL119" s="126">
        <v>-35</v>
      </c>
      <c r="AM119" s="126">
        <v>-36</v>
      </c>
      <c r="AN119" s="126">
        <v>-37</v>
      </c>
      <c r="AO119" s="126">
        <v>-38</v>
      </c>
      <c r="AP119" s="126">
        <v>-39</v>
      </c>
      <c r="AQ119" s="126">
        <v>-40</v>
      </c>
      <c r="AR119" s="126">
        <v>-41</v>
      </c>
      <c r="AS119" s="126">
        <v>-42</v>
      </c>
      <c r="AT119" s="126">
        <v>-43</v>
      </c>
      <c r="AU119" s="126">
        <v>-44</v>
      </c>
      <c r="AV119" s="126">
        <v>-45</v>
      </c>
      <c r="AW119" s="126">
        <v>-46</v>
      </c>
      <c r="AX119" s="126">
        <v>-47</v>
      </c>
      <c r="AY119" s="126">
        <v>-48</v>
      </c>
      <c r="AZ119" s="126">
        <v>-49</v>
      </c>
      <c r="BA119" s="126">
        <v>-50</v>
      </c>
      <c r="BB119" s="126">
        <v>-51</v>
      </c>
      <c r="BC119" s="126">
        <v>-52</v>
      </c>
      <c r="BD119" s="126">
        <v>-53</v>
      </c>
      <c r="BE119" s="126">
        <v>-54</v>
      </c>
      <c r="BF119" s="126">
        <v>-55</v>
      </c>
      <c r="BG119" s="126">
        <v>-56</v>
      </c>
      <c r="BH119" s="126">
        <v>-57</v>
      </c>
      <c r="BI119" s="126">
        <v>-58</v>
      </c>
      <c r="BJ119" s="126">
        <v>-59</v>
      </c>
      <c r="BK119" s="126">
        <v>-60</v>
      </c>
      <c r="BL119" s="126">
        <v>-61</v>
      </c>
      <c r="BM119" s="126">
        <v>-62</v>
      </c>
      <c r="BN119" s="126">
        <v>-63</v>
      </c>
      <c r="BO119" s="126">
        <v>-64</v>
      </c>
      <c r="BP119" s="126">
        <v>-65</v>
      </c>
      <c r="BQ119" s="126">
        <v>-66</v>
      </c>
      <c r="BR119" s="126">
        <v>-67</v>
      </c>
      <c r="BS119" s="126">
        <v>-68</v>
      </c>
      <c r="BT119" s="126">
        <v>-69</v>
      </c>
      <c r="BU119" s="126">
        <v>-70</v>
      </c>
      <c r="BV119" s="126">
        <v>-71</v>
      </c>
      <c r="BW119" s="126">
        <v>-72</v>
      </c>
      <c r="BX119" s="126">
        <v>-73</v>
      </c>
      <c r="BY119" s="126">
        <v>-74</v>
      </c>
      <c r="BZ119" s="126">
        <v>-75</v>
      </c>
      <c r="CA119" s="126">
        <v>-76</v>
      </c>
      <c r="CB119" s="126">
        <v>-77</v>
      </c>
      <c r="CC119" s="126">
        <v>-78</v>
      </c>
      <c r="CD119" s="126">
        <v>-79</v>
      </c>
      <c r="CE119" s="126">
        <v>-80</v>
      </c>
      <c r="CF119" s="126">
        <v>-81</v>
      </c>
      <c r="CG119" s="126">
        <v>-82</v>
      </c>
      <c r="CH119" s="126">
        <v>-83</v>
      </c>
      <c r="CI119" s="126">
        <v>-84</v>
      </c>
      <c r="CJ119" s="126">
        <v>-85</v>
      </c>
      <c r="CK119" s="126">
        <v>-86</v>
      </c>
      <c r="CL119" s="126">
        <v>-87</v>
      </c>
      <c r="CM119" s="126">
        <v>-88</v>
      </c>
      <c r="CN119" s="126">
        <v>-89</v>
      </c>
      <c r="CO119" s="126">
        <v>-90</v>
      </c>
      <c r="CP119" s="126">
        <v>-91</v>
      </c>
      <c r="CQ119" s="126">
        <v>-92</v>
      </c>
      <c r="CR119" s="126">
        <v>-93</v>
      </c>
      <c r="CS119" s="126">
        <v>-94</v>
      </c>
      <c r="CT119" s="126">
        <v>-95</v>
      </c>
      <c r="CU119" s="126">
        <v>-96</v>
      </c>
      <c r="CV119" s="126">
        <v>-97</v>
      </c>
      <c r="CW119" s="126">
        <v>-98</v>
      </c>
      <c r="CX119" s="126">
        <v>-99</v>
      </c>
      <c r="CY119" s="126">
        <v>-100</v>
      </c>
      <c r="CZ119" s="126">
        <v>-101</v>
      </c>
      <c r="DA119" s="126">
        <v>-102</v>
      </c>
      <c r="DB119" s="126">
        <v>-103</v>
      </c>
      <c r="DC119" s="126">
        <v>-104</v>
      </c>
      <c r="DD119" s="126">
        <v>-105</v>
      </c>
      <c r="DE119" s="126">
        <v>-106</v>
      </c>
      <c r="DF119" s="126">
        <v>-107</v>
      </c>
      <c r="DG119" s="126">
        <v>-108</v>
      </c>
      <c r="DH119" s="126">
        <v>-109</v>
      </c>
      <c r="DI119" s="126">
        <v>-110</v>
      </c>
      <c r="DJ119" s="126">
        <v>-111</v>
      </c>
      <c r="DK119" s="126">
        <v>-112</v>
      </c>
      <c r="DL119" s="126">
        <v>-113</v>
      </c>
      <c r="DM119" s="126">
        <v>-114</v>
      </c>
      <c r="DN119" s="126">
        <v>-115</v>
      </c>
      <c r="DO119" s="126">
        <v>-116</v>
      </c>
      <c r="DP119" s="126">
        <v>-117</v>
      </c>
      <c r="DQ119" s="126">
        <v>-118</v>
      </c>
      <c r="DR119" s="126">
        <v>-119</v>
      </c>
      <c r="DS119" s="126">
        <v>-120</v>
      </c>
      <c r="DT119" s="126">
        <v>-121</v>
      </c>
      <c r="DU119" s="126">
        <v>-122</v>
      </c>
      <c r="DV119" s="126">
        <v>-123</v>
      </c>
      <c r="DW119" s="126">
        <v>-124</v>
      </c>
      <c r="DX119" s="126">
        <v>-125</v>
      </c>
      <c r="DY119" s="126">
        <v>-126</v>
      </c>
      <c r="DZ119" s="126">
        <v>-127</v>
      </c>
      <c r="EA119" s="126">
        <v>-128</v>
      </c>
      <c r="EB119" s="126">
        <v>-129</v>
      </c>
      <c r="EC119" s="126">
        <v>-130</v>
      </c>
      <c r="ED119" s="126">
        <v>-131</v>
      </c>
      <c r="EE119" s="126">
        <v>-132</v>
      </c>
      <c r="EF119" s="126">
        <v>-133</v>
      </c>
      <c r="EG119" s="126">
        <v>-134</v>
      </c>
      <c r="EH119" s="126">
        <v>-135</v>
      </c>
      <c r="EI119" s="126">
        <v>-136</v>
      </c>
      <c r="EJ119" s="126">
        <v>-137</v>
      </c>
      <c r="EK119" s="126">
        <v>-138</v>
      </c>
      <c r="EL119" s="126">
        <v>-139</v>
      </c>
      <c r="EM119" s="126">
        <v>-140</v>
      </c>
      <c r="EN119" s="126">
        <v>-141</v>
      </c>
      <c r="EO119" s="126">
        <v>-142</v>
      </c>
      <c r="EP119" s="126">
        <v>-143</v>
      </c>
      <c r="EQ119" s="126">
        <v>-144</v>
      </c>
      <c r="ER119" s="126">
        <v>-145</v>
      </c>
      <c r="ES119" s="126">
        <v>-146</v>
      </c>
      <c r="ET119" s="126">
        <v>-147</v>
      </c>
      <c r="EU119" s="126">
        <v>-148</v>
      </c>
      <c r="EV119" s="126">
        <v>-149</v>
      </c>
      <c r="EW119" s="126">
        <v>-150</v>
      </c>
      <c r="EX119" s="126">
        <v>-151</v>
      </c>
      <c r="EY119" s="126">
        <v>-152</v>
      </c>
      <c r="EZ119" s="126">
        <v>-153</v>
      </c>
      <c r="FA119" s="126">
        <v>-154</v>
      </c>
      <c r="FB119" s="126">
        <v>-155</v>
      </c>
      <c r="FC119" s="126">
        <v>-156</v>
      </c>
      <c r="FD119" s="126">
        <v>-157</v>
      </c>
      <c r="FE119" s="126">
        <v>-158</v>
      </c>
      <c r="FF119" s="126">
        <v>-159</v>
      </c>
      <c r="FG119" s="126">
        <v>-160</v>
      </c>
      <c r="FH119" s="126">
        <v>-161</v>
      </c>
      <c r="FI119" s="126">
        <v>-162</v>
      </c>
      <c r="FJ119" s="126">
        <v>-163</v>
      </c>
      <c r="FK119" s="126">
        <v>-164</v>
      </c>
      <c r="FL119" s="126">
        <v>-165</v>
      </c>
      <c r="FM119" s="126">
        <v>-166</v>
      </c>
      <c r="FN119" s="126">
        <v>-167</v>
      </c>
      <c r="FO119" s="126">
        <v>-168</v>
      </c>
      <c r="FP119" s="126">
        <v>-169</v>
      </c>
      <c r="FQ119" s="126">
        <v>-170</v>
      </c>
      <c r="FR119" s="126">
        <v>-171</v>
      </c>
      <c r="FS119" s="126">
        <v>-172</v>
      </c>
      <c r="FT119" s="126">
        <v>-173</v>
      </c>
      <c r="FU119" s="126">
        <v>-174</v>
      </c>
      <c r="FV119" s="126">
        <v>-175</v>
      </c>
      <c r="FW119" s="126">
        <v>-176</v>
      </c>
      <c r="FX119" s="126">
        <v>-177</v>
      </c>
      <c r="FY119" s="126">
        <v>-178</v>
      </c>
      <c r="FZ119" s="126">
        <v>-179</v>
      </c>
      <c r="GA119" s="126">
        <v>-180</v>
      </c>
      <c r="GB119" s="126">
        <v>-181</v>
      </c>
      <c r="GC119" s="126">
        <v>-182</v>
      </c>
      <c r="GD119" s="126">
        <v>-183</v>
      </c>
      <c r="GE119" s="126">
        <v>-184</v>
      </c>
      <c r="GF119" s="126">
        <v>-185</v>
      </c>
      <c r="GG119" s="126">
        <v>-186</v>
      </c>
      <c r="GH119" s="126">
        <v>-187</v>
      </c>
      <c r="GI119" s="126">
        <v>-188</v>
      </c>
      <c r="GJ119" s="126">
        <v>-189</v>
      </c>
      <c r="GK119" s="126">
        <v>-190</v>
      </c>
      <c r="GL119" s="413">
        <v>-191</v>
      </c>
      <c r="GM119" s="413">
        <v>-192</v>
      </c>
      <c r="GN119" s="413">
        <v>-193</v>
      </c>
      <c r="GO119" s="413">
        <v>-194</v>
      </c>
      <c r="GP119" s="413">
        <v>-195</v>
      </c>
      <c r="GQ119" s="413">
        <v>-196</v>
      </c>
      <c r="GR119" s="413">
        <v>-197</v>
      </c>
      <c r="GS119" s="413">
        <v>-198</v>
      </c>
      <c r="GT119" s="413">
        <v>-199</v>
      </c>
      <c r="GU119" s="413">
        <v>-200</v>
      </c>
      <c r="GV119" s="413">
        <v>-201</v>
      </c>
      <c r="GW119" s="413">
        <v>-202</v>
      </c>
      <c r="GX119" s="413">
        <v>-203</v>
      </c>
      <c r="GY119" s="413">
        <v>-204</v>
      </c>
      <c r="GZ119" s="413">
        <v>-205</v>
      </c>
      <c r="HA119" s="413">
        <v>-206</v>
      </c>
      <c r="HB119" s="413">
        <v>-207</v>
      </c>
      <c r="HC119" s="413">
        <v>-208</v>
      </c>
      <c r="HD119" s="413">
        <v>-209</v>
      </c>
      <c r="HE119" s="413">
        <v>-210</v>
      </c>
      <c r="HF119" s="413">
        <v>-211</v>
      </c>
      <c r="HG119" s="413">
        <v>-212</v>
      </c>
      <c r="HH119" s="413">
        <v>-213</v>
      </c>
      <c r="HI119" s="413">
        <v>-214</v>
      </c>
      <c r="HJ119" s="413">
        <v>-215</v>
      </c>
      <c r="HK119" s="413">
        <v>-216</v>
      </c>
      <c r="HL119" s="413">
        <v>-217</v>
      </c>
      <c r="HM119" s="413">
        <v>-218</v>
      </c>
      <c r="HN119" s="413">
        <v>-219</v>
      </c>
      <c r="HO119" s="413">
        <v>-220</v>
      </c>
      <c r="HP119" s="413">
        <v>-221</v>
      </c>
      <c r="HQ119" s="413">
        <v>-222</v>
      </c>
      <c r="HR119" s="413">
        <v>-223</v>
      </c>
      <c r="HS119" s="413">
        <v>-224</v>
      </c>
      <c r="HT119" s="413">
        <v>-225</v>
      </c>
      <c r="HU119" s="413">
        <v>-226</v>
      </c>
      <c r="HV119" s="413">
        <v>-227</v>
      </c>
      <c r="HW119" s="413">
        <v>-228</v>
      </c>
      <c r="HX119" s="413">
        <v>-229</v>
      </c>
      <c r="HY119" s="413">
        <v>-230</v>
      </c>
      <c r="HZ119" s="413">
        <v>-231</v>
      </c>
      <c r="IA119" s="413">
        <v>-232</v>
      </c>
      <c r="IB119" s="413">
        <v>-233</v>
      </c>
      <c r="IC119" s="413">
        <v>-234</v>
      </c>
      <c r="ID119" s="413">
        <v>-235</v>
      </c>
      <c r="IE119" s="413">
        <v>-236</v>
      </c>
      <c r="IF119" s="413">
        <v>-237</v>
      </c>
      <c r="IG119" s="413">
        <v>-238</v>
      </c>
      <c r="IH119" s="413">
        <v>-239</v>
      </c>
      <c r="II119" s="413">
        <v>-240</v>
      </c>
      <c r="IJ119" s="413">
        <v>-241</v>
      </c>
      <c r="IK119" s="413">
        <v>-242</v>
      </c>
      <c r="IL119" s="413">
        <v>-243</v>
      </c>
      <c r="IM119" s="413">
        <v>-244</v>
      </c>
      <c r="IN119" s="413">
        <v>-245</v>
      </c>
      <c r="IO119" s="413">
        <v>-246</v>
      </c>
      <c r="IP119" s="413">
        <v>-247</v>
      </c>
      <c r="IQ119" s="413">
        <v>-248</v>
      </c>
      <c r="IR119" s="413">
        <v>-249</v>
      </c>
      <c r="IS119" s="413">
        <v>-250</v>
      </c>
    </row>
    <row r="120" spans="2:253" hidden="1" x14ac:dyDescent="0.3">
      <c r="C120" s="2" t="s">
        <v>286</v>
      </c>
      <c r="D120" s="2" t="s">
        <v>288</v>
      </c>
      <c r="E120" s="2" t="s">
        <v>290</v>
      </c>
      <c r="F120" s="2" t="s">
        <v>292</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3">
      <c r="C121" s="2" t="s">
        <v>230</v>
      </c>
      <c r="D121" s="2" t="s">
        <v>1802</v>
      </c>
      <c r="E121" s="2" t="s">
        <v>1671</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3">
      <c r="B122" s="1"/>
      <c r="C122" s="10" t="s">
        <v>231</v>
      </c>
      <c r="D122" s="10" t="s">
        <v>232</v>
      </c>
      <c r="E122" s="10" t="s">
        <v>233</v>
      </c>
      <c r="F122" s="10" t="s">
        <v>234</v>
      </c>
      <c r="G122" s="10" t="s">
        <v>235</v>
      </c>
      <c r="H122" s="10" t="s">
        <v>236</v>
      </c>
      <c r="I122" s="10" t="s">
        <v>237</v>
      </c>
      <c r="J122" s="10" t="s">
        <v>238</v>
      </c>
      <c r="K122" s="10" t="s">
        <v>239</v>
      </c>
      <c r="L122" s="10" t="s">
        <v>127</v>
      </c>
      <c r="M122" s="10" t="s">
        <v>128</v>
      </c>
      <c r="N122" s="10" t="s">
        <v>129</v>
      </c>
      <c r="O122" s="10" t="s">
        <v>130</v>
      </c>
      <c r="P122" s="10" t="s">
        <v>131</v>
      </c>
      <c r="Q122" s="10" t="s">
        <v>132</v>
      </c>
      <c r="R122" s="10" t="s">
        <v>1756</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3">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3">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3">
      <c r="C125" s="57"/>
      <c r="D125" s="34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3">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3">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3">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3">
      <c r="C129" s="414"/>
      <c r="H129" s="7"/>
      <c r="J129" s="415"/>
      <c r="K129" s="415"/>
    </row>
    <row r="130" spans="3:21" x14ac:dyDescent="0.3">
      <c r="C130" s="414"/>
      <c r="H130" s="7"/>
      <c r="J130" s="415"/>
      <c r="K130" s="415"/>
    </row>
    <row r="131" spans="3:21" x14ac:dyDescent="0.3">
      <c r="K131" s="415"/>
    </row>
    <row r="133" spans="3:21" x14ac:dyDescent="0.3">
      <c r="D133" s="1"/>
      <c r="E133" s="1"/>
      <c r="F133" s="1"/>
      <c r="G133" s="1"/>
      <c r="H133" s="1"/>
      <c r="I133" s="1"/>
    </row>
    <row r="134" spans="3:21" x14ac:dyDescent="0.3">
      <c r="D134" s="7"/>
      <c r="E134" s="7"/>
      <c r="F134" s="7"/>
      <c r="G134" s="7"/>
      <c r="H134" s="7"/>
      <c r="J134" s="415"/>
      <c r="K134" s="415"/>
    </row>
    <row r="137" spans="3:21" x14ac:dyDescent="0.3">
      <c r="K137" s="415"/>
    </row>
    <row r="140" spans="3:21" x14ac:dyDescent="0.3">
      <c r="U140" s="416"/>
    </row>
    <row r="141" spans="3:21" x14ac:dyDescent="0.3">
      <c r="U141" s="416"/>
    </row>
  </sheetData>
  <sheetProtection sheet="1" objects="1" scenarios="1"/>
  <mergeCells count="436">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9:Q49"/>
    <mergeCell ref="B43:E43"/>
    <mergeCell ref="B44:E44"/>
    <mergeCell ref="F44:N44"/>
    <mergeCell ref="AE91:AH91"/>
    <mergeCell ref="Z84:AC84"/>
    <mergeCell ref="V84:X84"/>
    <mergeCell ref="R84:T84"/>
    <mergeCell ref="R85:T85"/>
    <mergeCell ref="AE89:AH89"/>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B65:H65"/>
    <mergeCell ref="B67:H67"/>
    <mergeCell ref="Z67:AB67"/>
    <mergeCell ref="AE75:AH75"/>
    <mergeCell ref="B75:R75"/>
    <mergeCell ref="B76:R76"/>
    <mergeCell ref="AB75:AD75"/>
    <mergeCell ref="B85:L85"/>
    <mergeCell ref="M85:P85"/>
    <mergeCell ref="AF42:AH42"/>
    <mergeCell ref="W42:AE42"/>
    <mergeCell ref="AE76:AH76"/>
    <mergeCell ref="AE77:AH77"/>
    <mergeCell ref="S58:AH58"/>
    <mergeCell ref="L67:Q67"/>
    <mergeCell ref="AC67:AH67"/>
    <mergeCell ref="AC53:AE53"/>
    <mergeCell ref="O53:Q53"/>
    <mergeCell ref="O52:Q52"/>
    <mergeCell ref="O46:Q46"/>
    <mergeCell ref="F46:N46"/>
    <mergeCell ref="B51:AH51"/>
    <mergeCell ref="S52:AB52"/>
    <mergeCell ref="S46:V46"/>
    <mergeCell ref="W46:AE46"/>
    <mergeCell ref="AF46:AH46"/>
    <mergeCell ref="Z85:AC85"/>
    <mergeCell ref="B84:L84"/>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0:Q10"/>
    <mergeCell ref="B9:F9"/>
    <mergeCell ref="G9:N9"/>
    <mergeCell ref="B11:I11"/>
    <mergeCell ref="O13:Q13"/>
    <mergeCell ref="J11:N11"/>
    <mergeCell ref="O6:Q6"/>
    <mergeCell ref="N25:Q25"/>
    <mergeCell ref="N23:Q24"/>
    <mergeCell ref="H28:J28"/>
    <mergeCell ref="K27:M27"/>
    <mergeCell ref="H29:J29"/>
    <mergeCell ref="B15:N15"/>
    <mergeCell ref="B16:N16"/>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O7:Q7"/>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3:AH3"/>
    <mergeCell ref="B4:Q4"/>
    <mergeCell ref="B5:F5"/>
    <mergeCell ref="S5:W5"/>
    <mergeCell ref="S4:AH4"/>
    <mergeCell ref="X5:AE5"/>
    <mergeCell ref="G5:N5"/>
    <mergeCell ref="AF5:AH5"/>
    <mergeCell ref="O5:Q5"/>
    <mergeCell ref="R4:R17"/>
    <mergeCell ref="O15:Q16"/>
    <mergeCell ref="O12:Q12"/>
    <mergeCell ref="S10:Z10"/>
    <mergeCell ref="AA10:AE10"/>
    <mergeCell ref="O14:Q14"/>
    <mergeCell ref="S12:Z12"/>
    <mergeCell ref="S11:Z11"/>
    <mergeCell ref="O11:Q11"/>
    <mergeCell ref="AA11:AE11"/>
    <mergeCell ref="AA12:AE12"/>
    <mergeCell ref="B13:N13"/>
    <mergeCell ref="O8:Q8"/>
    <mergeCell ref="O9:Q9"/>
    <mergeCell ref="J10:N10"/>
    <mergeCell ref="AF6:AH6"/>
    <mergeCell ref="AN22:AO22"/>
    <mergeCell ref="AF15:AH16"/>
    <mergeCell ref="S13:AE13"/>
    <mergeCell ref="AF13:AH13"/>
    <mergeCell ref="S15:AE15"/>
    <mergeCell ref="S16:AE16"/>
    <mergeCell ref="S14:AE14"/>
    <mergeCell ref="AL22:AM22"/>
    <mergeCell ref="AF11:AH11"/>
    <mergeCell ref="AF14:AH14"/>
    <mergeCell ref="AF12:AH12"/>
    <mergeCell ref="AF7:AH7"/>
    <mergeCell ref="AF9:AH9"/>
    <mergeCell ref="AF8:AH8"/>
    <mergeCell ref="AF10:AH10"/>
    <mergeCell ref="S19:AH19"/>
    <mergeCell ref="AF17:AH17"/>
    <mergeCell ref="S20:T20"/>
    <mergeCell ref="U20:AH20"/>
    <mergeCell ref="S17:AE17"/>
    <mergeCell ref="S21:AA21"/>
    <mergeCell ref="AB21:AD21"/>
    <mergeCell ref="AE21:AH21"/>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K24:M24"/>
    <mergeCell ref="Y25:AA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AE71:AH72"/>
    <mergeCell ref="AF64:AH64"/>
    <mergeCell ref="AF63:AH63"/>
    <mergeCell ref="AC63:AE63"/>
    <mergeCell ref="AC65:AE65"/>
    <mergeCell ref="Q72:T72"/>
    <mergeCell ref="AF65:AH65"/>
    <mergeCell ref="AF66:AH66"/>
    <mergeCell ref="S66:Y66"/>
    <mergeCell ref="AC66:AE66"/>
    <mergeCell ref="B68:AH68"/>
    <mergeCell ref="B66:H66"/>
    <mergeCell ref="I66:K66"/>
    <mergeCell ref="O66:Q66"/>
    <mergeCell ref="Z66:AB66"/>
    <mergeCell ref="AF47:AH47"/>
    <mergeCell ref="B52:K52"/>
    <mergeCell ref="S48:AE48"/>
    <mergeCell ref="S47:V47"/>
    <mergeCell ref="B46:E46"/>
    <mergeCell ref="B47:E47"/>
    <mergeCell ref="B48:N48"/>
    <mergeCell ref="AF52:AH52"/>
    <mergeCell ref="AF54:AH54"/>
    <mergeCell ref="F47:N47"/>
    <mergeCell ref="W47:AE47"/>
    <mergeCell ref="O48:Q48"/>
    <mergeCell ref="O47:Q47"/>
    <mergeCell ref="O54:Q54"/>
    <mergeCell ref="L54:N54"/>
    <mergeCell ref="B77:R77"/>
    <mergeCell ref="S75:W75"/>
    <mergeCell ref="B54:K54"/>
    <mergeCell ref="S76:W76"/>
    <mergeCell ref="S77:W77"/>
    <mergeCell ref="Y77:AA77"/>
    <mergeCell ref="Y75:AA75"/>
    <mergeCell ref="I64:K64"/>
    <mergeCell ref="Z60:AB60"/>
    <mergeCell ref="Y71:AD71"/>
    <mergeCell ref="S67:Y67"/>
    <mergeCell ref="S64:Y64"/>
    <mergeCell ref="Z64:AB64"/>
    <mergeCell ref="I67:K67"/>
    <mergeCell ref="B63:H63"/>
    <mergeCell ref="S65:Y65"/>
    <mergeCell ref="Z65:AB65"/>
    <mergeCell ref="L64:N64"/>
    <mergeCell ref="M72:O72"/>
    <mergeCell ref="Q71:T71"/>
    <mergeCell ref="Q73:T73"/>
    <mergeCell ref="O65:Q65"/>
    <mergeCell ref="S54:AB54"/>
    <mergeCell ref="AC54:AE54"/>
    <mergeCell ref="AF41:AH41"/>
    <mergeCell ref="B41:E41"/>
    <mergeCell ref="AF43:AH43"/>
    <mergeCell ref="F43:N43"/>
    <mergeCell ref="AF45:AH45"/>
    <mergeCell ref="W44:AE44"/>
    <mergeCell ref="B45:E45"/>
    <mergeCell ref="B42:E42"/>
    <mergeCell ref="AF44:AH44"/>
    <mergeCell ref="W45:AE45"/>
    <mergeCell ref="W43:AE43"/>
    <mergeCell ref="S44:V44"/>
    <mergeCell ref="S43:V43"/>
    <mergeCell ref="S42:V42"/>
    <mergeCell ref="S41:V41"/>
    <mergeCell ref="O42:Q42"/>
    <mergeCell ref="F42:N42"/>
    <mergeCell ref="O43:Q43"/>
    <mergeCell ref="O44:Q44"/>
    <mergeCell ref="O45:Q45"/>
    <mergeCell ref="S45:V45"/>
    <mergeCell ref="F45:N45"/>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856" yWindow="452"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1:N65 AF11 O11 AC61:AE65 AF7:AH7 O7:Q7"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topLeftCell="AK10" zoomScale="90" zoomScaleNormal="90" workbookViewId="0">
      <selection activeCell="AJ10" sqref="Q1:AJ1048576"/>
    </sheetView>
  </sheetViews>
  <sheetFormatPr defaultColWidth="2.81640625" defaultRowHeight="13" x14ac:dyDescent="0.3"/>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3">
      <c r="B1" s="10" t="s">
        <v>1732</v>
      </c>
      <c r="C1" s="747" t="str">
        <f>IF('Start here'!A6="","",'Start here'!A6)</f>
        <v/>
      </c>
      <c r="D1" s="751"/>
      <c r="E1" s="751"/>
      <c r="F1" s="751"/>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3">
      <c r="B2" s="792"/>
      <c r="C2" s="792"/>
      <c r="D2" s="792"/>
      <c r="E2" s="792"/>
      <c r="F2" s="792"/>
      <c r="G2" s="792"/>
      <c r="H2" s="792"/>
      <c r="I2" s="792"/>
      <c r="J2" s="792"/>
      <c r="K2" s="792"/>
      <c r="L2" s="792"/>
      <c r="M2" s="792"/>
      <c r="N2" s="792"/>
      <c r="O2" s="792"/>
      <c r="P2" s="792"/>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4">
      <c r="B3" s="793" t="s">
        <v>1773</v>
      </c>
      <c r="C3" s="1185"/>
      <c r="D3" s="1185"/>
      <c r="E3" s="1185"/>
      <c r="F3" s="1185"/>
      <c r="G3" s="1185"/>
      <c r="H3" s="1185"/>
      <c r="I3" s="1185"/>
      <c r="J3" s="1185"/>
      <c r="K3" s="1185"/>
      <c r="L3" s="1185"/>
      <c r="M3" s="1185"/>
      <c r="N3" s="1185"/>
      <c r="O3" s="1185"/>
      <c r="P3" s="1186"/>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3">
      <c r="B4" s="792"/>
      <c r="C4" s="792"/>
      <c r="D4" s="792"/>
      <c r="E4" s="792"/>
      <c r="F4" s="792"/>
      <c r="G4" s="792"/>
      <c r="H4" s="792"/>
      <c r="I4" s="792"/>
      <c r="J4" s="792"/>
      <c r="K4" s="792"/>
      <c r="L4" s="792"/>
      <c r="M4" s="792"/>
      <c r="N4" s="792"/>
      <c r="O4" s="792"/>
      <c r="P4" s="792"/>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3">
      <c r="B5" s="878" t="s">
        <v>1594</v>
      </c>
      <c r="C5" s="878"/>
      <c r="D5" s="878"/>
      <c r="E5" s="878"/>
      <c r="F5" s="878"/>
      <c r="G5" s="878"/>
      <c r="H5" s="878"/>
      <c r="I5" s="878"/>
      <c r="J5" s="878"/>
      <c r="K5" s="878"/>
      <c r="L5" s="878"/>
      <c r="M5" s="878"/>
      <c r="N5" s="878"/>
      <c r="O5" s="878"/>
      <c r="P5" s="845"/>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3">
      <c r="B6" s="18"/>
      <c r="C6" s="878" t="s">
        <v>1595</v>
      </c>
      <c r="D6" s="878"/>
      <c r="E6" s="878"/>
      <c r="F6" s="878"/>
      <c r="G6" s="878" t="s">
        <v>1596</v>
      </c>
      <c r="H6" s="878"/>
      <c r="I6" s="878"/>
      <c r="J6" s="878"/>
      <c r="K6" s="925"/>
      <c r="L6" s="925"/>
      <c r="M6" s="925"/>
      <c r="N6" s="925"/>
      <c r="O6" s="925"/>
      <c r="P6" s="846"/>
      <c r="Q6" s="6"/>
      <c r="R6" s="6"/>
      <c r="S6" s="13" t="s">
        <v>1597</v>
      </c>
      <c r="T6" s="1285" t="s">
        <v>211</v>
      </c>
      <c r="U6" s="1287"/>
      <c r="V6" s="940" t="s">
        <v>194</v>
      </c>
      <c r="W6" s="942"/>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3">
      <c r="B7" s="275" t="s">
        <v>1863</v>
      </c>
      <c r="C7" s="708"/>
      <c r="D7" s="708"/>
      <c r="E7" s="948">
        <f>'Sh-Table'!R3</f>
        <v>0</v>
      </c>
      <c r="F7" s="1279"/>
      <c r="G7" s="708"/>
      <c r="H7" s="708"/>
      <c r="I7" s="929">
        <f>IF(C7="",0,IF(OR(C7&lt;=0,G7&lt;=0),E7,IF(G7&lt;C7,0,'Sh-Table'!W3)))</f>
        <v>0</v>
      </c>
      <c r="J7" s="929"/>
      <c r="K7" s="946" t="str">
        <f>IF(OR(C7="NA",G7="NA"),"",IF(AND(C7&lt;&gt;"",G7=""),"Enter contralateral or NA.",IF(AND(C7="",G7&lt;&gt;""),"Need data","")))</f>
        <v/>
      </c>
      <c r="L7" s="946"/>
      <c r="M7" s="946"/>
      <c r="N7" s="946"/>
      <c r="O7" s="946"/>
      <c r="P7" s="846"/>
      <c r="Q7" s="6"/>
      <c r="R7" s="125"/>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71" t="s">
        <v>2271</v>
      </c>
      <c r="Z7" s="773"/>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3">
      <c r="B8" s="275" t="s">
        <v>1502</v>
      </c>
      <c r="C8" s="708"/>
      <c r="D8" s="708"/>
      <c r="E8" s="948">
        <f>IF(AND($Y$18=1,$Z$18=1),"ERROR",'Sh-Table'!R4)</f>
        <v>0</v>
      </c>
      <c r="F8" s="1279"/>
      <c r="G8" s="946" t="str">
        <f>IF(AND($Z$18=1,$Y$18=1),"Cannot rate ROM and ankylosis.","")</f>
        <v/>
      </c>
      <c r="H8" s="946"/>
      <c r="I8" s="946"/>
      <c r="J8" s="946"/>
      <c r="K8" s="946"/>
      <c r="L8" s="946"/>
      <c r="M8" s="946"/>
      <c r="N8" s="946"/>
      <c r="O8" s="946"/>
      <c r="P8" s="846"/>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3">
      <c r="B9" s="275" t="s">
        <v>1503</v>
      </c>
      <c r="C9" s="708"/>
      <c r="D9" s="708"/>
      <c r="E9" s="948">
        <f>'Sh-Table'!R5</f>
        <v>0</v>
      </c>
      <c r="F9" s="1279"/>
      <c r="G9" s="708"/>
      <c r="H9" s="708"/>
      <c r="I9" s="929">
        <f>IF(C9="",0,IF(OR(C9&lt;=0,G9&lt;=0),E9,IF(G9&lt;C9,0,'Sh-Table'!W5)))</f>
        <v>0</v>
      </c>
      <c r="J9" s="929"/>
      <c r="K9" s="946" t="str">
        <f>IF(OR(C9="NA",G9="NA"),"",IF(AND(C9&lt;&gt;"",G9=""),"Enter contralateral or NA.",IF(AND(C9="",G9&lt;&gt;""),"Need data","")))</f>
        <v/>
      </c>
      <c r="L9" s="946"/>
      <c r="M9" s="946"/>
      <c r="N9" s="946"/>
      <c r="O9" s="946"/>
      <c r="P9" s="846"/>
      <c r="Q9" s="6"/>
      <c r="R9" s="6"/>
      <c r="S9" s="13">
        <v>50</v>
      </c>
      <c r="T9" s="13" t="str">
        <f t="shared" si="0"/>
        <v/>
      </c>
      <c r="U9" s="13" t="str">
        <f>IF(OR(G9="",G9="NA"),"",IF(G9&gt;S9,S9,IF(G9&lt;0,0,G9)))</f>
        <v/>
      </c>
      <c r="V9" s="56" t="str">
        <f>IF(W9="","",ROUND(W9,0))</f>
        <v/>
      </c>
      <c r="W9" s="113" t="str">
        <f>IF(T9="","",IF(OR(U9="",U9=0,U9&lt;T9),T9,(T9*S9)/U9))</f>
        <v/>
      </c>
      <c r="X9" s="115">
        <f>MAX(E8,E10,E12,E14,E16,E18)</f>
        <v>0</v>
      </c>
      <c r="Y9" s="757" t="s">
        <v>2268</v>
      </c>
      <c r="Z9" s="759"/>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3">
      <c r="B10" s="275" t="s">
        <v>1504</v>
      </c>
      <c r="C10" s="708"/>
      <c r="D10" s="708"/>
      <c r="E10" s="948">
        <f>IF(AND($Y$18=1,$Z$18=1),"ERROR",'Sh-Table'!R6)</f>
        <v>0</v>
      </c>
      <c r="F10" s="1279"/>
      <c r="G10" s="946" t="str">
        <f>IF(AND($Z$18=1,$Y$18=1),"Cannot rate ROM and ankylosis.","")</f>
        <v/>
      </c>
      <c r="H10" s="946"/>
      <c r="I10" s="946"/>
      <c r="J10" s="946"/>
      <c r="K10" s="946"/>
      <c r="L10" s="946"/>
      <c r="M10" s="946"/>
      <c r="N10" s="946"/>
      <c r="O10" s="946"/>
      <c r="P10" s="846"/>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3">
      <c r="B11" s="146" t="s">
        <v>691</v>
      </c>
      <c r="C11" s="708"/>
      <c r="D11" s="708"/>
      <c r="E11" s="948">
        <f>'Sh-Table'!R7</f>
        <v>0</v>
      </c>
      <c r="F11" s="1279"/>
      <c r="G11" s="708"/>
      <c r="H11" s="708"/>
      <c r="I11" s="929">
        <f>IF(C11="",0,IF(OR(C11&lt;=0,G11&lt;=0),E11,IF(G11&lt;C11,0,'Sh-Table'!W7)))</f>
        <v>0</v>
      </c>
      <c r="J11" s="929"/>
      <c r="K11" s="946" t="str">
        <f>IF(OR(C11="NA",G11="NA"),"",IF(AND(C11&lt;&gt;"",G11=""),"Enter contralateral or NA.",IF(AND(C11="",G11&lt;&gt;""),"Need data","")))</f>
        <v/>
      </c>
      <c r="L11" s="946"/>
      <c r="M11" s="946"/>
      <c r="N11" s="946"/>
      <c r="O11" s="946"/>
      <c r="P11" s="846"/>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3">
      <c r="B12" s="146" t="s">
        <v>694</v>
      </c>
      <c r="C12" s="708"/>
      <c r="D12" s="708"/>
      <c r="E12" s="948">
        <f>IF(AND($Y$18=1,$Z$18=1),"ERROR",'Sh-Table'!R8)</f>
        <v>0</v>
      </c>
      <c r="F12" s="1279"/>
      <c r="G12" s="946" t="str">
        <f>IF(AND($Z$18=1,$Y$18=1),"Cannot rate ROM and ankylosis.","")</f>
        <v/>
      </c>
      <c r="H12" s="946"/>
      <c r="I12" s="946"/>
      <c r="J12" s="946"/>
      <c r="K12" s="946"/>
      <c r="L12" s="946"/>
      <c r="M12" s="946"/>
      <c r="N12" s="946"/>
      <c r="O12" s="946"/>
      <c r="P12" s="846"/>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3">
      <c r="B13" s="146" t="s">
        <v>695</v>
      </c>
      <c r="C13" s="708"/>
      <c r="D13" s="708"/>
      <c r="E13" s="948">
        <f>'Sh-Table'!R9</f>
        <v>0</v>
      </c>
      <c r="F13" s="1279"/>
      <c r="G13" s="708"/>
      <c r="H13" s="708"/>
      <c r="I13" s="929">
        <f>IF(C13="",0,IF(OR(C13&lt;=0,G13&lt;=0),E13,IF(G13&lt;C13,0,'Sh-Table'!W9)))</f>
        <v>0</v>
      </c>
      <c r="J13" s="929"/>
      <c r="K13" s="946" t="str">
        <f>IF(OR(C13="NA",G13="NA"),"",IF(AND(C13&lt;&gt;"",G13=""),"Enter contralateral or NA.",IF(AND(C13="",G13&lt;&gt;""),"Need data","")))</f>
        <v/>
      </c>
      <c r="L13" s="946"/>
      <c r="M13" s="946"/>
      <c r="N13" s="946"/>
      <c r="O13" s="946"/>
      <c r="P13" s="846"/>
      <c r="Q13" s="6"/>
      <c r="R13" s="116" t="s">
        <v>696</v>
      </c>
      <c r="S13" s="13">
        <v>50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3">
      <c r="B14" s="146" t="s">
        <v>697</v>
      </c>
      <c r="C14" s="708"/>
      <c r="D14" s="708"/>
      <c r="E14" s="948">
        <f>IF(AND($Y$18=1,$Z$18=1),"ERROR",'Sh-Table'!R10)</f>
        <v>0</v>
      </c>
      <c r="F14" s="1279"/>
      <c r="G14" s="946" t="str">
        <f>IF(AND($Z$18=1,$Y$18=1),"Cannot rate ROM and ankylosis.","")</f>
        <v/>
      </c>
      <c r="H14" s="946"/>
      <c r="I14" s="946"/>
      <c r="J14" s="946"/>
      <c r="K14" s="946"/>
      <c r="L14" s="946"/>
      <c r="M14" s="946"/>
      <c r="N14" s="946"/>
      <c r="O14" s="946"/>
      <c r="P14" s="846"/>
      <c r="Q14" s="6"/>
      <c r="R14" s="88" t="s">
        <v>698</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3">
      <c r="B15" s="146" t="s">
        <v>699</v>
      </c>
      <c r="C15" s="708"/>
      <c r="D15" s="708"/>
      <c r="E15" s="948">
        <f>'Sh-Table'!R11</f>
        <v>0</v>
      </c>
      <c r="F15" s="1279"/>
      <c r="G15" s="708"/>
      <c r="H15" s="708"/>
      <c r="I15" s="929">
        <f>IF(C15="",0,IF(OR(C15&lt;=0,G15&lt;=0),E15,IF(G15&lt;C15,0,'Sh-Table'!W11)))</f>
        <v>0</v>
      </c>
      <c r="J15" s="929"/>
      <c r="K15" s="946" t="str">
        <f>IF(OR(C15="NA",G15="NA"),"",IF(AND(C15&lt;&gt;"",G15=""),"Enter contralateral or NA.",IF(AND(C15="",G15&lt;&gt;""),"Need data","")))</f>
        <v/>
      </c>
      <c r="L15" s="946"/>
      <c r="M15" s="946"/>
      <c r="N15" s="946"/>
      <c r="O15" s="946"/>
      <c r="P15" s="846"/>
      <c r="Q15" s="6"/>
      <c r="R15" s="111">
        <f>IF(R19="ERROR",1,0)</f>
        <v>0</v>
      </c>
      <c r="S15" s="13">
        <v>80</v>
      </c>
      <c r="T15" s="13" t="str">
        <f t="shared" si="0"/>
        <v/>
      </c>
      <c r="U15" s="13" t="str">
        <f>IF(OR(G15="",G15="NA"),"",IF(G15&gt;S15,S15,IF(G15&lt;0,0,G15)))</f>
        <v/>
      </c>
      <c r="V15" s="56" t="str">
        <f>IF(W15="","",ROUND(W15,0))</f>
        <v/>
      </c>
      <c r="W15" s="114"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3">
      <c r="B16" s="128" t="s">
        <v>591</v>
      </c>
      <c r="C16" s="708"/>
      <c r="D16" s="708"/>
      <c r="E16" s="948">
        <f>IF(AND($Y$18=1,$Z$18=1),"ERROR",'Sh-Table'!R12)</f>
        <v>0</v>
      </c>
      <c r="F16" s="1279"/>
      <c r="G16" s="946" t="str">
        <f>IF(AND($Z$18=1,$Y$18=1),"Cannot rate ROM and ankylosis.","")</f>
        <v/>
      </c>
      <c r="H16" s="946"/>
      <c r="I16" s="946"/>
      <c r="J16" s="946"/>
      <c r="K16" s="946"/>
      <c r="L16" s="946"/>
      <c r="M16" s="946"/>
      <c r="N16" s="946"/>
      <c r="O16" s="946"/>
      <c r="P16" s="846"/>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3">
      <c r="B17" s="275" t="s">
        <v>592</v>
      </c>
      <c r="C17" s="708"/>
      <c r="D17" s="708"/>
      <c r="E17" s="948">
        <f>'Sh-Table'!R13</f>
        <v>0</v>
      </c>
      <c r="F17" s="1279"/>
      <c r="G17" s="708"/>
      <c r="H17" s="708"/>
      <c r="I17" s="929">
        <f>IF(C17="",0,IF(OR(C17&lt;=0,G17&lt;=0),E17,IF(G17&lt;C17,0,'Sh-Table'!W13)))</f>
        <v>0</v>
      </c>
      <c r="J17" s="929"/>
      <c r="K17" s="946" t="str">
        <f>IF(OR(C17="NA",G17="NA"),"",IF(AND(C17&lt;&gt;"",G17=""),"Enter contralateral or NA.",IF(AND(C17="",G17&lt;&gt;""),"Need data","")))</f>
        <v/>
      </c>
      <c r="L17" s="946"/>
      <c r="M17" s="946"/>
      <c r="N17" s="946"/>
      <c r="O17" s="946"/>
      <c r="P17" s="846"/>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3">
      <c r="B18" s="275" t="s">
        <v>593</v>
      </c>
      <c r="C18" s="708"/>
      <c r="D18" s="708"/>
      <c r="E18" s="948">
        <f>IF(AND($Y$18=1,$Z$18=1),"ERROR",'Sh-Table'!R14)</f>
        <v>0</v>
      </c>
      <c r="F18" s="1279"/>
      <c r="G18" s="946" t="str">
        <f>IF(AND($Z$18=1,$Y$18=1),"Cannot rate ROM and ankylosis.","")</f>
        <v/>
      </c>
      <c r="H18" s="946"/>
      <c r="I18" s="946"/>
      <c r="J18" s="946"/>
      <c r="K18" s="946"/>
      <c r="L18" s="946"/>
      <c r="M18" s="946"/>
      <c r="N18" s="946"/>
      <c r="O18" s="946"/>
      <c r="P18" s="847"/>
      <c r="Q18" s="6"/>
      <c r="R18" s="6"/>
      <c r="S18" s="92">
        <v>70</v>
      </c>
      <c r="T18" s="13" t="str">
        <f t="shared" si="0"/>
        <v/>
      </c>
      <c r="U18" s="6"/>
      <c r="V18" s="5"/>
      <c r="W18" s="6"/>
      <c r="X18" s="6"/>
      <c r="Y18" s="612">
        <f>IF(OR(Y12=1,Y13=1,Y14=1,Y15=1,Y16=1,Y17=1),1,0)</f>
        <v>0</v>
      </c>
      <c r="Z18" s="612">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3">
      <c r="B19" s="925"/>
      <c r="C19" s="925"/>
      <c r="D19" s="925"/>
      <c r="E19" s="925"/>
      <c r="F19" s="925"/>
      <c r="G19" s="925"/>
      <c r="H19" s="1099" t="s">
        <v>820</v>
      </c>
      <c r="I19" s="1100"/>
      <c r="J19" s="1100"/>
      <c r="K19" s="1100"/>
      <c r="L19" s="1100"/>
      <c r="M19" s="1100"/>
      <c r="N19" s="1100"/>
      <c r="O19" s="1101"/>
      <c r="P19" s="286">
        <f>IF(R15=1,"ERROR",S19)</f>
        <v>0</v>
      </c>
      <c r="Q19" s="6"/>
      <c r="R19" s="117">
        <f>IF(AND(X7&gt;0,X7&lt;0.01),0.01,X7)</f>
        <v>0</v>
      </c>
      <c r="S19" s="52">
        <f>IF(R19&lt;&gt;"ERROR",ROUND(R19,2),0)</f>
        <v>0</v>
      </c>
      <c r="T19" s="6"/>
      <c r="U19" s="6"/>
      <c r="W19" s="6"/>
      <c r="X19" s="6"/>
      <c r="Y19" s="6"/>
      <c r="Z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3">
      <c r="B20" s="1211"/>
      <c r="C20" s="1211"/>
      <c r="D20" s="1211"/>
      <c r="E20" s="1211"/>
      <c r="F20" s="1211"/>
      <c r="G20" s="1211"/>
      <c r="H20" s="1211"/>
      <c r="I20" s="1211"/>
      <c r="J20" s="1211"/>
      <c r="K20" s="1211"/>
      <c r="L20" s="1211"/>
      <c r="M20" s="1211"/>
      <c r="N20" s="1211"/>
      <c r="O20" s="1211"/>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3">
      <c r="B21" s="878" t="s">
        <v>1774</v>
      </c>
      <c r="C21" s="878"/>
      <c r="D21" s="878"/>
      <c r="E21" s="878"/>
      <c r="F21" s="878"/>
      <c r="G21" s="878"/>
      <c r="H21" s="878"/>
      <c r="I21" s="878"/>
      <c r="J21" s="878"/>
      <c r="K21" s="878"/>
      <c r="L21" s="878"/>
      <c r="M21" s="878"/>
      <c r="N21" s="878"/>
      <c r="O21" s="878"/>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3">
      <c r="A22" s="15"/>
      <c r="B22" s="1536"/>
      <c r="C22" s="1536"/>
      <c r="D22" s="1536"/>
      <c r="E22" s="1536"/>
      <c r="F22" s="1536"/>
      <c r="G22" s="1536"/>
      <c r="H22" s="1536"/>
      <c r="I22" s="1536"/>
      <c r="J22" s="1536"/>
      <c r="K22" s="1536"/>
      <c r="L22" s="1536"/>
      <c r="M22" s="1536"/>
      <c r="N22" s="1536"/>
      <c r="O22" s="1536"/>
      <c r="P22" s="287">
        <f>IF(S22=1,0.15,IF(S22=2,0.05,IF(S22=3,0,0)))</f>
        <v>0</v>
      </c>
      <c r="Q22" s="6"/>
      <c r="R22" s="1537"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3">
      <c r="B23" s="1536"/>
      <c r="C23" s="1536"/>
      <c r="D23" s="1536"/>
      <c r="E23" s="1536"/>
      <c r="F23" s="1536"/>
      <c r="G23" s="1536"/>
      <c r="H23" s="1536"/>
      <c r="I23" s="1536"/>
      <c r="J23" s="1536"/>
      <c r="K23" s="1536"/>
      <c r="L23" s="1536"/>
      <c r="M23" s="1536"/>
      <c r="N23" s="1536"/>
      <c r="O23" s="1536"/>
      <c r="P23" s="287">
        <f>IF(S23=1,0.05,0)</f>
        <v>0</v>
      </c>
      <c r="Q23" s="6"/>
      <c r="R23" s="1537"/>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3">
      <c r="B24" s="1536"/>
      <c r="C24" s="1536"/>
      <c r="D24" s="1536"/>
      <c r="E24" s="1536"/>
      <c r="F24" s="1536"/>
      <c r="G24" s="1536"/>
      <c r="H24" s="1536"/>
      <c r="I24" s="1536"/>
      <c r="J24" s="1536"/>
      <c r="K24" s="1536"/>
      <c r="L24" s="1536"/>
      <c r="M24" s="1536"/>
      <c r="N24" s="1536"/>
      <c r="O24" s="1536"/>
      <c r="P24" s="287">
        <f>IF(S24=1,0.3,0)</f>
        <v>0</v>
      </c>
      <c r="Q24" s="6"/>
      <c r="R24" s="1537"/>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3">
      <c r="B25" s="1536"/>
      <c r="C25" s="1536"/>
      <c r="D25" s="1536"/>
      <c r="E25" s="1536"/>
      <c r="F25" s="1536"/>
      <c r="G25" s="1536"/>
      <c r="H25" s="1536"/>
      <c r="I25" s="1536"/>
      <c r="J25" s="1536"/>
      <c r="K25" s="1536"/>
      <c r="L25" s="1536"/>
      <c r="M25" s="1536"/>
      <c r="N25" s="1536"/>
      <c r="O25" s="1536"/>
      <c r="P25" s="287">
        <f>IF(S25=1,0.1,0)</f>
        <v>0</v>
      </c>
      <c r="Q25" s="6"/>
      <c r="R25" s="1537"/>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3">
      <c r="B26" s="1541"/>
      <c r="C26" s="1541"/>
      <c r="D26" s="1541"/>
      <c r="E26" s="1541"/>
      <c r="F26" s="1541"/>
      <c r="G26" s="1541"/>
      <c r="H26" s="1541"/>
      <c r="I26" s="1541"/>
      <c r="J26" s="1541"/>
      <c r="K26" s="1541"/>
      <c r="L26" s="1541"/>
      <c r="M26" s="1541"/>
      <c r="N26" s="1541"/>
      <c r="O26" s="1541"/>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3">
      <c r="B27" s="878" t="s">
        <v>505</v>
      </c>
      <c r="C27" s="878"/>
      <c r="D27" s="878"/>
      <c r="E27" s="878"/>
      <c r="F27" s="878"/>
      <c r="G27" s="878"/>
      <c r="H27" s="878"/>
      <c r="I27" s="878"/>
      <c r="J27" s="878"/>
      <c r="K27" s="878"/>
      <c r="L27" s="878"/>
      <c r="M27" s="878"/>
      <c r="N27" s="878"/>
      <c r="O27" s="878"/>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3">
      <c r="B28" s="1174" t="s">
        <v>1718</v>
      </c>
      <c r="C28" s="1174"/>
      <c r="D28" s="1174"/>
      <c r="E28" s="1174"/>
      <c r="F28" s="1174"/>
      <c r="G28" s="1174"/>
      <c r="H28" s="1174"/>
      <c r="I28" s="1174"/>
      <c r="J28" s="1174"/>
      <c r="K28" s="1174"/>
      <c r="L28" s="1174"/>
      <c r="M28" s="1174"/>
      <c r="N28" s="1174"/>
      <c r="O28" s="1174"/>
      <c r="P28" s="1189"/>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3">
      <c r="B29" s="1174"/>
      <c r="C29" s="1174"/>
      <c r="D29" s="1174"/>
      <c r="E29" s="1174"/>
      <c r="F29" s="1174"/>
      <c r="G29" s="1174"/>
      <c r="H29" s="1174"/>
      <c r="I29" s="1174"/>
      <c r="J29" s="1174"/>
      <c r="K29" s="1174"/>
      <c r="L29" s="1174"/>
      <c r="M29" s="1174"/>
      <c r="N29" s="1174"/>
      <c r="O29" s="1174"/>
      <c r="P29" s="1189"/>
      <c r="Q29" s="6"/>
      <c r="R29" s="1538" t="s">
        <v>2273</v>
      </c>
      <c r="S29" s="1538"/>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3">
      <c r="B30" s="1174"/>
      <c r="C30" s="1174"/>
      <c r="D30" s="1174"/>
      <c r="E30" s="1174"/>
      <c r="F30" s="1174"/>
      <c r="G30" s="1174"/>
      <c r="H30" s="1174"/>
      <c r="I30" s="1174"/>
      <c r="J30" s="1174"/>
      <c r="K30" s="1174"/>
      <c r="L30" s="1174"/>
      <c r="M30" s="1174"/>
      <c r="N30" s="1174"/>
      <c r="O30" s="1174"/>
      <c r="P30" s="1189"/>
      <c r="Q30" s="6"/>
      <c r="R30" s="1538"/>
      <c r="S30" s="1538"/>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3">
      <c r="A31" s="15"/>
      <c r="B31" s="1023"/>
      <c r="C31" s="1023"/>
      <c r="D31" s="1023"/>
      <c r="E31" s="1023"/>
      <c r="F31" s="1023"/>
      <c r="G31" s="1023"/>
      <c r="H31" s="1023"/>
      <c r="I31" s="1023"/>
      <c r="J31" s="1023"/>
      <c r="K31" s="1023"/>
      <c r="L31" s="1023"/>
      <c r="M31" s="1023"/>
      <c r="N31" s="1023"/>
      <c r="O31" s="1023"/>
      <c r="P31" s="1542">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3">
      <c r="B32" s="1536"/>
      <c r="C32" s="1536"/>
      <c r="D32" s="1536"/>
      <c r="E32" s="1536"/>
      <c r="F32" s="1536"/>
      <c r="G32" s="1536"/>
      <c r="H32" s="1536"/>
      <c r="I32" s="1536"/>
      <c r="J32" s="1536"/>
      <c r="K32" s="1536"/>
      <c r="L32" s="1536"/>
      <c r="M32" s="1536"/>
      <c r="N32" s="1536"/>
      <c r="O32" s="1536"/>
      <c r="P32" s="1542"/>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3">
      <c r="B33" s="1541"/>
      <c r="C33" s="1541"/>
      <c r="D33" s="1541"/>
      <c r="E33" s="1541"/>
      <c r="F33" s="1541"/>
      <c r="G33" s="1541"/>
      <c r="H33" s="1541"/>
      <c r="I33" s="1541"/>
      <c r="J33" s="1541"/>
      <c r="K33" s="1541"/>
      <c r="L33" s="1541"/>
      <c r="M33" s="1541"/>
      <c r="N33" s="1541"/>
      <c r="O33" s="1541"/>
      <c r="P33" s="16"/>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3">
      <c r="B34" s="1541"/>
      <c r="C34" s="1541"/>
      <c r="D34" s="1541"/>
      <c r="E34" s="1541"/>
      <c r="F34" s="1541"/>
      <c r="G34" s="1541"/>
      <c r="H34" s="1541"/>
      <c r="I34" s="1541"/>
      <c r="J34" s="1541"/>
      <c r="K34" s="1541"/>
      <c r="L34" s="1541"/>
      <c r="M34" s="1541"/>
      <c r="N34" s="1541"/>
      <c r="O34" s="1541"/>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3">
      <c r="B35" s="947" t="s">
        <v>506</v>
      </c>
      <c r="C35" s="878"/>
      <c r="D35" s="878"/>
      <c r="E35" s="878"/>
      <c r="F35" s="878"/>
      <c r="G35" s="878"/>
      <c r="H35" s="878"/>
      <c r="I35" s="878"/>
      <c r="J35" s="878"/>
      <c r="K35" s="878"/>
      <c r="L35" s="878"/>
      <c r="M35" s="878"/>
      <c r="N35" s="878"/>
      <c r="O35" s="878"/>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3">
      <c r="B36" s="1539" t="s">
        <v>813</v>
      </c>
      <c r="C36" s="1539"/>
      <c r="D36" s="1539"/>
      <c r="E36" s="1539"/>
      <c r="F36" s="1539"/>
      <c r="G36" s="1539"/>
      <c r="H36" s="1539"/>
      <c r="I36" s="1539"/>
      <c r="J36" s="1539"/>
      <c r="K36" s="1539"/>
      <c r="L36" s="1539"/>
      <c r="M36" s="1539"/>
      <c r="N36" s="1539"/>
      <c r="O36" s="1540"/>
      <c r="P36" s="845"/>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3">
      <c r="B37" s="1174" t="s">
        <v>1871</v>
      </c>
      <c r="C37" s="1174"/>
      <c r="D37" s="1174"/>
      <c r="E37" s="1174"/>
      <c r="F37" s="1174"/>
      <c r="G37" s="1174"/>
      <c r="H37" s="1174"/>
      <c r="I37" s="1174"/>
      <c r="J37" s="1174"/>
      <c r="K37" s="1174"/>
      <c r="L37" s="1174"/>
      <c r="M37" s="1174"/>
      <c r="N37" s="1174"/>
      <c r="O37" s="1294"/>
      <c r="P37" s="846"/>
      <c r="Q37" s="6"/>
      <c r="R37" s="6"/>
      <c r="S37" s="947" t="s">
        <v>2274</v>
      </c>
      <c r="T37" s="947"/>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3">
      <c r="B38" s="927" t="s">
        <v>66</v>
      </c>
      <c r="C38" s="927" t="s">
        <v>67</v>
      </c>
      <c r="D38" s="927"/>
      <c r="E38" s="927"/>
      <c r="F38" s="927" t="s">
        <v>68</v>
      </c>
      <c r="G38" s="925"/>
      <c r="H38" s="925"/>
      <c r="I38" s="927" t="s">
        <v>1596</v>
      </c>
      <c r="J38" s="927"/>
      <c r="K38" s="927"/>
      <c r="L38" s="927" t="s">
        <v>68</v>
      </c>
      <c r="M38" s="1279"/>
      <c r="N38" s="925"/>
      <c r="O38" s="922" t="s">
        <v>69</v>
      </c>
      <c r="P38" s="846"/>
      <c r="Q38" s="6"/>
      <c r="R38" s="6"/>
      <c r="S38" s="947"/>
      <c r="T38" s="94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3">
      <c r="B39" s="927"/>
      <c r="C39" s="927"/>
      <c r="D39" s="927"/>
      <c r="E39" s="927"/>
      <c r="F39" s="925"/>
      <c r="G39" s="925"/>
      <c r="H39" s="925"/>
      <c r="I39" s="927"/>
      <c r="J39" s="927"/>
      <c r="K39" s="927"/>
      <c r="L39" s="1279"/>
      <c r="M39" s="1279"/>
      <c r="N39" s="925"/>
      <c r="O39" s="940"/>
      <c r="P39" s="846"/>
      <c r="R39" s="712"/>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3">
      <c r="B40" s="417" t="s">
        <v>1382</v>
      </c>
      <c r="C40" s="925"/>
      <c r="D40" s="925"/>
      <c r="E40" s="146"/>
      <c r="F40" s="1028"/>
      <c r="G40" s="1028"/>
      <c r="H40" s="370"/>
      <c r="I40" s="925"/>
      <c r="J40" s="925"/>
      <c r="K40" s="146"/>
      <c r="L40" s="1028"/>
      <c r="M40" s="1028"/>
      <c r="N40" s="370"/>
      <c r="O40" s="308"/>
      <c r="P40" s="846"/>
      <c r="R40" s="712"/>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3">
      <c r="B41" s="418" t="s">
        <v>1381</v>
      </c>
      <c r="C41" s="936">
        <v>0.1</v>
      </c>
      <c r="D41" s="936"/>
      <c r="E41" s="18" t="s">
        <v>1790</v>
      </c>
      <c r="F41" s="936">
        <f>SUMIF($T$39:$AH$39,F40,$T$40:$AH$40)</f>
        <v>0</v>
      </c>
      <c r="G41" s="936"/>
      <c r="H41" s="160" t="s">
        <v>1791</v>
      </c>
      <c r="I41" s="936">
        <v>0.1</v>
      </c>
      <c r="J41" s="936"/>
      <c r="K41" s="18" t="s">
        <v>1790</v>
      </c>
      <c r="L41" s="936">
        <f>SUMIF($T$39:$AH$39,L40,$T$40:$AH$40)</f>
        <v>0</v>
      </c>
      <c r="M41" s="936"/>
      <c r="N41" s="160" t="s">
        <v>1792</v>
      </c>
      <c r="O41" s="243">
        <f>IF(C41*F41-I41*L41&lt;0,0,C41*F41-I41*L41)</f>
        <v>0</v>
      </c>
      <c r="P41" s="846"/>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3">
      <c r="B42" s="417" t="s">
        <v>555</v>
      </c>
      <c r="C42" s="1168"/>
      <c r="D42" s="847"/>
      <c r="E42" s="233"/>
      <c r="F42" s="1535"/>
      <c r="G42" s="1535"/>
      <c r="H42" s="419"/>
      <c r="I42" s="847"/>
      <c r="J42" s="847"/>
      <c r="K42" s="233"/>
      <c r="L42" s="1535"/>
      <c r="M42" s="1535"/>
      <c r="N42" s="419"/>
      <c r="O42" s="358"/>
      <c r="P42" s="846"/>
      <c r="Q42" s="6"/>
      <c r="R42" s="6"/>
      <c r="S42" s="1142" t="s">
        <v>1040</v>
      </c>
      <c r="T42" s="1142" t="s">
        <v>1041</v>
      </c>
      <c r="U42" s="1142" t="s">
        <v>1042</v>
      </c>
      <c r="V42" s="1142"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3">
      <c r="B43" s="420" t="s">
        <v>1044</v>
      </c>
      <c r="C43" s="936">
        <v>0.03</v>
      </c>
      <c r="D43" s="936"/>
      <c r="E43" s="18" t="s">
        <v>1790</v>
      </c>
      <c r="F43" s="936">
        <f>SUMIF($T$39:$AH$39,F42,$T$40:$AH$40)</f>
        <v>0</v>
      </c>
      <c r="G43" s="936"/>
      <c r="H43" s="160" t="s">
        <v>1791</v>
      </c>
      <c r="I43" s="936">
        <v>0.03</v>
      </c>
      <c r="J43" s="936"/>
      <c r="K43" s="18" t="s">
        <v>1790</v>
      </c>
      <c r="L43" s="936">
        <f>SUMIF($T$39:$AH$39,L42,$T$40:$AH$40)</f>
        <v>0</v>
      </c>
      <c r="M43" s="936"/>
      <c r="N43" s="160" t="s">
        <v>1792</v>
      </c>
      <c r="O43" s="243">
        <f>IF(C43*F43-I43*L43&lt;0,0,C43*F43-I43*L43)</f>
        <v>0</v>
      </c>
      <c r="P43" s="846"/>
      <c r="Q43" s="6"/>
      <c r="R43" s="33"/>
      <c r="S43" s="959"/>
      <c r="T43" s="1142"/>
      <c r="U43" s="1142"/>
      <c r="V43" s="1142"/>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3">
      <c r="B44" s="421" t="s">
        <v>1383</v>
      </c>
      <c r="C44" s="847"/>
      <c r="D44" s="847"/>
      <c r="E44" s="233"/>
      <c r="F44" s="1535"/>
      <c r="G44" s="1535"/>
      <c r="H44" s="419"/>
      <c r="I44" s="847"/>
      <c r="J44" s="847"/>
      <c r="K44" s="233"/>
      <c r="L44" s="1535"/>
      <c r="M44" s="1535"/>
      <c r="N44" s="419"/>
      <c r="O44" s="358"/>
      <c r="P44" s="846"/>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3">
      <c r="B45" s="420" t="s">
        <v>1001</v>
      </c>
      <c r="C45" s="936">
        <v>0.21</v>
      </c>
      <c r="D45" s="936"/>
      <c r="E45" s="18" t="s">
        <v>1790</v>
      </c>
      <c r="F45" s="936">
        <f>SUMIF($T$39:$AH$39,F44,$T$40:$AH$40)</f>
        <v>0</v>
      </c>
      <c r="G45" s="936"/>
      <c r="H45" s="160" t="s">
        <v>1791</v>
      </c>
      <c r="I45" s="936">
        <v>0.21</v>
      </c>
      <c r="J45" s="936"/>
      <c r="K45" s="18" t="s">
        <v>1790</v>
      </c>
      <c r="L45" s="936">
        <f>SUMIF($T$39:$AH$39,L44,$T$40:$AH$40)</f>
        <v>0</v>
      </c>
      <c r="M45" s="936"/>
      <c r="N45" s="160" t="s">
        <v>1792</v>
      </c>
      <c r="O45" s="209" t="str">
        <f>IF(F44="","",IF(C45*F45-I45*L45&lt;=0,"",C45*F45-I45*L45))</f>
        <v/>
      </c>
      <c r="P45" s="846"/>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3">
      <c r="B46" s="1343" t="s">
        <v>1002</v>
      </c>
      <c r="C46" s="847"/>
      <c r="D46" s="847"/>
      <c r="E46" s="233"/>
      <c r="F46" s="1535"/>
      <c r="G46" s="1535"/>
      <c r="H46" s="419"/>
      <c r="I46" s="847"/>
      <c r="J46" s="847"/>
      <c r="K46" s="233"/>
      <c r="L46" s="1535"/>
      <c r="M46" s="1535"/>
      <c r="N46" s="370"/>
      <c r="O46" s="105"/>
      <c r="P46" s="846"/>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3">
      <c r="B47" s="1344"/>
      <c r="C47" s="936">
        <v>0.21</v>
      </c>
      <c r="D47" s="936"/>
      <c r="E47" s="18" t="s">
        <v>1790</v>
      </c>
      <c r="F47" s="936">
        <f>SUMIF($T$39:$AH$39,F46,$T$40:$AH$40)</f>
        <v>0</v>
      </c>
      <c r="G47" s="936"/>
      <c r="H47" s="160" t="s">
        <v>1791</v>
      </c>
      <c r="I47" s="936">
        <v>0.21</v>
      </c>
      <c r="J47" s="936"/>
      <c r="K47" s="18" t="s">
        <v>1790</v>
      </c>
      <c r="L47" s="936">
        <f>SUMIF($T$39:$AH$39,L46,$T$40:$AH$40)</f>
        <v>0</v>
      </c>
      <c r="M47" s="936"/>
      <c r="N47" s="160" t="s">
        <v>1792</v>
      </c>
      <c r="O47" s="209" t="str">
        <f>IF(F46="","",IF(C47*F47-I47*L47&lt;=0,"",C47*F47-I47*L47))</f>
        <v/>
      </c>
      <c r="P47" s="846"/>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3">
      <c r="B48" s="1343" t="s">
        <v>1003</v>
      </c>
      <c r="C48" s="847"/>
      <c r="D48" s="847"/>
      <c r="E48" s="233"/>
      <c r="F48" s="1535"/>
      <c r="G48" s="1535"/>
      <c r="H48" s="419"/>
      <c r="I48" s="847"/>
      <c r="J48" s="847"/>
      <c r="K48" s="233"/>
      <c r="L48" s="1535"/>
      <c r="M48" s="1535"/>
      <c r="N48" s="370"/>
      <c r="O48" s="105"/>
      <c r="P48" s="846"/>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3">
      <c r="B49" s="1344"/>
      <c r="C49" s="936">
        <v>0.21</v>
      </c>
      <c r="D49" s="936"/>
      <c r="E49" s="18" t="s">
        <v>1790</v>
      </c>
      <c r="F49" s="936">
        <f>SUMIF($T$39:$AH$39,F48,$T$40:$AH$40)</f>
        <v>0</v>
      </c>
      <c r="G49" s="936"/>
      <c r="H49" s="160" t="s">
        <v>1791</v>
      </c>
      <c r="I49" s="936">
        <v>0.21</v>
      </c>
      <c r="J49" s="936"/>
      <c r="K49" s="18" t="s">
        <v>1790</v>
      </c>
      <c r="L49" s="936">
        <f>SUMIF($T$39:$AH$39,L48,$T$40:$AH$40)</f>
        <v>0</v>
      </c>
      <c r="M49" s="936"/>
      <c r="N49" s="160" t="s">
        <v>1792</v>
      </c>
      <c r="O49" s="209" t="str">
        <f>IF(F48="","",IF(C49*F49-I49*L49&lt;=0,"",C49*F49-I49*L49))</f>
        <v/>
      </c>
      <c r="P49" s="846"/>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3">
      <c r="B50" s="1343" t="s">
        <v>1810</v>
      </c>
      <c r="C50" s="847"/>
      <c r="D50" s="847"/>
      <c r="E50" s="233"/>
      <c r="F50" s="1535"/>
      <c r="G50" s="1535"/>
      <c r="H50" s="419"/>
      <c r="I50" s="847"/>
      <c r="J50" s="847"/>
      <c r="K50" s="233"/>
      <c r="L50" s="1535"/>
      <c r="M50" s="1535"/>
      <c r="N50" s="370"/>
      <c r="O50" s="105"/>
      <c r="P50" s="846"/>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3">
      <c r="B51" s="1344"/>
      <c r="C51" s="936">
        <v>0.21</v>
      </c>
      <c r="D51" s="936"/>
      <c r="E51" s="18" t="s">
        <v>1790</v>
      </c>
      <c r="F51" s="936">
        <f>SUMIF($T$39:$AH$39,F50,$T$40:$AH$40)</f>
        <v>0</v>
      </c>
      <c r="G51" s="936"/>
      <c r="H51" s="160" t="s">
        <v>1791</v>
      </c>
      <c r="I51" s="936">
        <v>0.21</v>
      </c>
      <c r="J51" s="936"/>
      <c r="K51" s="18" t="s">
        <v>1790</v>
      </c>
      <c r="L51" s="936">
        <f>SUMIF($T$39:$AH$39,L50,$T$40:$AH$40)</f>
        <v>0</v>
      </c>
      <c r="M51" s="936"/>
      <c r="N51" s="160" t="s">
        <v>1792</v>
      </c>
      <c r="O51" s="209" t="str">
        <f>IF(F50="","",IF(C51*F51-I51*L51&lt;=0,"",C51*F51-I51*L51))</f>
        <v/>
      </c>
      <c r="P51" s="846"/>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3">
      <c r="B52" s="1343" t="s">
        <v>1811</v>
      </c>
      <c r="C52" s="847"/>
      <c r="D52" s="847"/>
      <c r="E52" s="233"/>
      <c r="F52" s="1535"/>
      <c r="G52" s="1535"/>
      <c r="H52" s="419"/>
      <c r="I52" s="847"/>
      <c r="J52" s="847"/>
      <c r="K52" s="233"/>
      <c r="L52" s="1535"/>
      <c r="M52" s="1535"/>
      <c r="N52" s="370"/>
      <c r="O52" s="105"/>
      <c r="P52" s="846"/>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3">
      <c r="B53" s="1344"/>
      <c r="C53" s="936">
        <v>0.21</v>
      </c>
      <c r="D53" s="936"/>
      <c r="E53" s="18" t="s">
        <v>1790</v>
      </c>
      <c r="F53" s="936">
        <f>SUMIF($T$39:$AH$39,F52,$T$40:$AH$40)</f>
        <v>0</v>
      </c>
      <c r="G53" s="936"/>
      <c r="H53" s="160" t="s">
        <v>1791</v>
      </c>
      <c r="I53" s="936">
        <v>0.21</v>
      </c>
      <c r="J53" s="936"/>
      <c r="K53" s="18" t="s">
        <v>1790</v>
      </c>
      <c r="L53" s="936">
        <f>SUMIF($T$39:$AH$39,L52,$T$40:$AH$40)</f>
        <v>0</v>
      </c>
      <c r="M53" s="936"/>
      <c r="N53" s="160" t="s">
        <v>1792</v>
      </c>
      <c r="O53" s="209" t="str">
        <f>IF(F52="","",IF(C53*F53-I53*L53&lt;=0,"",C53*F53-I53*L53))</f>
        <v/>
      </c>
      <c r="P53" s="846"/>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3">
      <c r="B54" s="270" t="s">
        <v>1384</v>
      </c>
      <c r="C54" s="1548" t="str">
        <f>IF(AND(O45&lt;&gt;"",S44=1),"ERROR: Record strength for 'Overall' or specific muscles, not both.","")</f>
        <v/>
      </c>
      <c r="D54" s="1548"/>
      <c r="E54" s="1548"/>
      <c r="F54" s="1548"/>
      <c r="G54" s="1548"/>
      <c r="H54" s="1548"/>
      <c r="I54" s="1548"/>
      <c r="J54" s="1548"/>
      <c r="K54" s="1548"/>
      <c r="L54" s="1548"/>
      <c r="M54" s="1548"/>
      <c r="N54" s="160" t="s">
        <v>1792</v>
      </c>
      <c r="O54" s="242">
        <f>IF(C54&lt;&gt;"","ERROR",IF(AND(O45="",O47="",O49="",O51="",O53=""),0,AVERAGE(O45,O47,O49,O51,O53)))</f>
        <v>0</v>
      </c>
      <c r="P54" s="846"/>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3">
      <c r="B55" s="421" t="s">
        <v>1380</v>
      </c>
      <c r="C55" s="847"/>
      <c r="D55" s="847"/>
      <c r="E55" s="233"/>
      <c r="F55" s="1535"/>
      <c r="G55" s="1535"/>
      <c r="H55" s="419"/>
      <c r="I55" s="847"/>
      <c r="J55" s="847"/>
      <c r="K55" s="233"/>
      <c r="L55" s="1535"/>
      <c r="M55" s="1535"/>
      <c r="N55" s="419"/>
      <c r="O55" s="358"/>
      <c r="P55" s="846"/>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3">
      <c r="B56" s="420" t="s">
        <v>1001</v>
      </c>
      <c r="C56" s="936">
        <v>0.03</v>
      </c>
      <c r="D56" s="936"/>
      <c r="E56" s="18" t="s">
        <v>1790</v>
      </c>
      <c r="F56" s="936">
        <f>SUMIF($T$39:$AH$39,F55,$T$40:$AH$40)</f>
        <v>0</v>
      </c>
      <c r="G56" s="936"/>
      <c r="H56" s="160" t="s">
        <v>1791</v>
      </c>
      <c r="I56" s="936">
        <v>0.03</v>
      </c>
      <c r="J56" s="936"/>
      <c r="K56" s="18" t="s">
        <v>1790</v>
      </c>
      <c r="L56" s="936">
        <f>SUMIF($T$39:$AH$39,L55,$T$40:$AH$40)</f>
        <v>0</v>
      </c>
      <c r="M56" s="936"/>
      <c r="N56" s="160" t="s">
        <v>1792</v>
      </c>
      <c r="O56" s="209" t="str">
        <f>IF(F55="","",IF(C56*F56-I56*L56&lt;=0,"",C56*F56-I56*L56))</f>
        <v/>
      </c>
      <c r="P56" s="846"/>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3">
      <c r="B57" s="1343" t="s">
        <v>634</v>
      </c>
      <c r="C57" s="847"/>
      <c r="D57" s="847"/>
      <c r="E57" s="233"/>
      <c r="F57" s="1535"/>
      <c r="G57" s="1535"/>
      <c r="H57" s="419"/>
      <c r="I57" s="847"/>
      <c r="J57" s="847"/>
      <c r="K57" s="233"/>
      <c r="L57" s="1535"/>
      <c r="M57" s="1535"/>
      <c r="N57" s="370"/>
      <c r="O57" s="105"/>
      <c r="P57" s="846"/>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3">
      <c r="B58" s="1344"/>
      <c r="C58" s="936">
        <v>0.03</v>
      </c>
      <c r="D58" s="936"/>
      <c r="E58" s="18" t="s">
        <v>1790</v>
      </c>
      <c r="F58" s="936">
        <f>SUMIF($T$39:$AH$39,F57,$T$40:$AH$40)</f>
        <v>0</v>
      </c>
      <c r="G58" s="936"/>
      <c r="H58" s="160" t="s">
        <v>1791</v>
      </c>
      <c r="I58" s="936">
        <v>0.03</v>
      </c>
      <c r="J58" s="936"/>
      <c r="K58" s="18" t="s">
        <v>1790</v>
      </c>
      <c r="L58" s="936">
        <f>SUMIF($T$39:$AH$39,L57,$T$40:$AH$40)</f>
        <v>0</v>
      </c>
      <c r="M58" s="936"/>
      <c r="N58" s="160" t="s">
        <v>1792</v>
      </c>
      <c r="O58" s="209" t="str">
        <f>IF(F57="","",IF(C58*F58-I58*L58&lt;=0,"",C58*F58-I58*L58))</f>
        <v/>
      </c>
      <c r="P58" s="846"/>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3">
      <c r="B59" s="1343" t="s">
        <v>635</v>
      </c>
      <c r="C59" s="847"/>
      <c r="D59" s="847"/>
      <c r="E59" s="233"/>
      <c r="F59" s="1535"/>
      <c r="G59" s="1535"/>
      <c r="H59" s="419"/>
      <c r="I59" s="847"/>
      <c r="J59" s="847"/>
      <c r="K59" s="233"/>
      <c r="L59" s="1535"/>
      <c r="M59" s="1535"/>
      <c r="N59" s="370"/>
      <c r="O59" s="105"/>
      <c r="P59" s="846"/>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3">
      <c r="B60" s="1344"/>
      <c r="C60" s="936">
        <v>0.03</v>
      </c>
      <c r="D60" s="936"/>
      <c r="E60" s="18" t="s">
        <v>1790</v>
      </c>
      <c r="F60" s="936">
        <f>SUMIF($T$39:$AH$39,F57,$T$40:$AH$40)</f>
        <v>0</v>
      </c>
      <c r="G60" s="936"/>
      <c r="H60" s="160" t="s">
        <v>1791</v>
      </c>
      <c r="I60" s="936">
        <v>0.03</v>
      </c>
      <c r="J60" s="936"/>
      <c r="K60" s="18" t="s">
        <v>1790</v>
      </c>
      <c r="L60" s="936">
        <f>SUMIF($T$39:$AH$39,L59,$T$40:$AH$40)</f>
        <v>0</v>
      </c>
      <c r="M60" s="936"/>
      <c r="N60" s="160" t="s">
        <v>1792</v>
      </c>
      <c r="O60" s="209" t="str">
        <f>IF(F59="","",IF(C60*F60-I60*L60&lt;=0,"",C60*F60-I60*L60))</f>
        <v/>
      </c>
      <c r="P60" s="846"/>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3">
      <c r="B61" s="1343" t="s">
        <v>636</v>
      </c>
      <c r="C61" s="847"/>
      <c r="D61" s="847"/>
      <c r="E61" s="233"/>
      <c r="F61" s="1535"/>
      <c r="G61" s="1535"/>
      <c r="H61" s="419"/>
      <c r="I61" s="847"/>
      <c r="J61" s="847"/>
      <c r="K61" s="233"/>
      <c r="L61" s="1535"/>
      <c r="M61" s="1535"/>
      <c r="N61" s="370"/>
      <c r="O61" s="111"/>
      <c r="P61" s="846"/>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3">
      <c r="B62" s="1344"/>
      <c r="C62" s="936">
        <v>0.03</v>
      </c>
      <c r="D62" s="936"/>
      <c r="E62" s="18" t="s">
        <v>1790</v>
      </c>
      <c r="F62" s="936">
        <f>SUMIF($T$39:$AH$39,F61,$T$40:$AH$40)</f>
        <v>0</v>
      </c>
      <c r="G62" s="936"/>
      <c r="H62" s="160" t="s">
        <v>1791</v>
      </c>
      <c r="I62" s="936">
        <v>0.03</v>
      </c>
      <c r="J62" s="936"/>
      <c r="K62" s="18" t="s">
        <v>1790</v>
      </c>
      <c r="L62" s="936">
        <f>SUMIF($T$39:$AH$39,L61,$T$40:$AH$40)</f>
        <v>0</v>
      </c>
      <c r="M62" s="936"/>
      <c r="N62" s="160" t="s">
        <v>1792</v>
      </c>
      <c r="O62" s="242" t="str">
        <f>IF(F61="","",IF(C62*F62-I62*L62&lt;=0,"",C62*F62-I62*L62))</f>
        <v/>
      </c>
      <c r="P62" s="846"/>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3">
      <c r="B63" s="270" t="s">
        <v>1555</v>
      </c>
      <c r="C63" s="1548" t="str">
        <f>IF(AND(O56&lt;&gt;"",T44=1),"ERROR: Record strength for 'Overall' or specific muscles, not both.","")</f>
        <v/>
      </c>
      <c r="D63" s="1548"/>
      <c r="E63" s="1548"/>
      <c r="F63" s="1548"/>
      <c r="G63" s="1548"/>
      <c r="H63" s="1548"/>
      <c r="I63" s="1548"/>
      <c r="J63" s="1548"/>
      <c r="K63" s="1548"/>
      <c r="L63" s="1548"/>
      <c r="M63" s="1548"/>
      <c r="N63" s="160" t="s">
        <v>1792</v>
      </c>
      <c r="O63" s="242">
        <f>IF(C63&lt;&gt;"","ERROR",IF(AND(O56="",O58="",O60="",O62=""),0,AVERAGE(O56,O58,O60,O62)))</f>
        <v>0</v>
      </c>
      <c r="P63" s="846"/>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3">
      <c r="B64" s="422" t="s">
        <v>556</v>
      </c>
      <c r="C64" s="847"/>
      <c r="D64" s="847"/>
      <c r="E64" s="233"/>
      <c r="F64" s="1535"/>
      <c r="G64" s="1535"/>
      <c r="H64" s="419"/>
      <c r="I64" s="847"/>
      <c r="J64" s="847"/>
      <c r="K64" s="233"/>
      <c r="L64" s="1535"/>
      <c r="M64" s="1535"/>
      <c r="N64" s="419"/>
      <c r="O64" s="358"/>
      <c r="P64" s="846"/>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3">
      <c r="B65" s="423" t="s">
        <v>637</v>
      </c>
      <c r="C65" s="936">
        <v>0.09</v>
      </c>
      <c r="D65" s="936"/>
      <c r="E65" s="18" t="s">
        <v>1790</v>
      </c>
      <c r="F65" s="936">
        <f>SUMIF($T$39:$AH$39,F64,$T$40:$AH$40)</f>
        <v>0</v>
      </c>
      <c r="G65" s="936"/>
      <c r="H65" s="160" t="s">
        <v>1791</v>
      </c>
      <c r="I65" s="936">
        <v>0.09</v>
      </c>
      <c r="J65" s="936"/>
      <c r="K65" s="18" t="s">
        <v>1790</v>
      </c>
      <c r="L65" s="936">
        <f>SUMIF($T$39:$AH$39,L64,$T$40:$AH$40)</f>
        <v>0</v>
      </c>
      <c r="M65" s="936"/>
      <c r="N65" s="160" t="s">
        <v>1792</v>
      </c>
      <c r="O65" s="243">
        <f>IF(C65*F65-I65*L65&lt;0,0,C65*F65-I65*L65)</f>
        <v>0</v>
      </c>
      <c r="P65" s="846"/>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3">
      <c r="B66" s="421" t="s">
        <v>1378</v>
      </c>
      <c r="C66" s="1168"/>
      <c r="D66" s="847"/>
      <c r="E66" s="233"/>
      <c r="F66" s="1535"/>
      <c r="G66" s="1535"/>
      <c r="H66" s="419"/>
      <c r="I66" s="847"/>
      <c r="J66" s="847"/>
      <c r="K66" s="233"/>
      <c r="L66" s="1535"/>
      <c r="M66" s="1535"/>
      <c r="N66" s="419"/>
      <c r="O66" s="358"/>
      <c r="P66" s="846"/>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3">
      <c r="B67" s="420" t="s">
        <v>1379</v>
      </c>
      <c r="C67" s="936">
        <v>0.03</v>
      </c>
      <c r="D67" s="936"/>
      <c r="E67" s="18" t="s">
        <v>1790</v>
      </c>
      <c r="F67" s="936">
        <f>SUMIF($T$39:$AH$39,F66,$T$40:$AH$40)</f>
        <v>0</v>
      </c>
      <c r="G67" s="936"/>
      <c r="H67" s="160" t="s">
        <v>1791</v>
      </c>
      <c r="I67" s="936">
        <v>0.03</v>
      </c>
      <c r="J67" s="936"/>
      <c r="K67" s="18" t="s">
        <v>1790</v>
      </c>
      <c r="L67" s="936">
        <f>SUMIF($T$39:$AH$39,L66,$T$40:$AH$40)</f>
        <v>0</v>
      </c>
      <c r="M67" s="936"/>
      <c r="N67" s="160" t="s">
        <v>1792</v>
      </c>
      <c r="O67" s="209" t="str">
        <f>IF(F66="","",IF(C67*F67-I67*L67&lt;=0,"",C67*F67-I67*L67))</f>
        <v/>
      </c>
      <c r="P67" s="846"/>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3">
      <c r="B68" s="1343" t="s">
        <v>638</v>
      </c>
      <c r="C68" s="847"/>
      <c r="D68" s="847"/>
      <c r="E68" s="233"/>
      <c r="F68" s="1535"/>
      <c r="G68" s="1535"/>
      <c r="H68" s="419"/>
      <c r="I68" s="847"/>
      <c r="J68" s="847"/>
      <c r="K68" s="233"/>
      <c r="L68" s="1535"/>
      <c r="M68" s="1535"/>
      <c r="N68" s="370"/>
      <c r="O68" s="111"/>
      <c r="P68" s="846"/>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3">
      <c r="B69" s="1344"/>
      <c r="C69" s="936">
        <v>0.03</v>
      </c>
      <c r="D69" s="936"/>
      <c r="E69" s="18" t="s">
        <v>1790</v>
      </c>
      <c r="F69" s="936">
        <f>SUMIF($T$39:$AH$39,F68,$T$40:$AH$40)</f>
        <v>0</v>
      </c>
      <c r="G69" s="936"/>
      <c r="H69" s="160" t="s">
        <v>1791</v>
      </c>
      <c r="I69" s="936">
        <v>0.03</v>
      </c>
      <c r="J69" s="936"/>
      <c r="K69" s="18" t="s">
        <v>1790</v>
      </c>
      <c r="L69" s="936">
        <f>SUMIF($T$39:$AH$39,L68,$T$40:$AH$40)</f>
        <v>0</v>
      </c>
      <c r="M69" s="936"/>
      <c r="N69" s="160" t="s">
        <v>1792</v>
      </c>
      <c r="O69" s="209" t="str">
        <f>IF(F68="","",IF(C69*F69-I69*L69&lt;=0,"",C69*F69-I69*L69))</f>
        <v/>
      </c>
      <c r="P69" s="846"/>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3">
      <c r="B70" s="1343" t="s">
        <v>639</v>
      </c>
      <c r="C70" s="847"/>
      <c r="D70" s="847"/>
      <c r="E70" s="233"/>
      <c r="F70" s="1535"/>
      <c r="G70" s="1535"/>
      <c r="H70" s="419"/>
      <c r="I70" s="847"/>
      <c r="J70" s="847"/>
      <c r="K70" s="233"/>
      <c r="L70" s="1535"/>
      <c r="M70" s="1535"/>
      <c r="N70" s="370"/>
      <c r="O70" s="111"/>
      <c r="P70" s="846"/>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3">
      <c r="B71" s="1344"/>
      <c r="C71" s="936">
        <v>0.03</v>
      </c>
      <c r="D71" s="936"/>
      <c r="E71" s="18" t="s">
        <v>1790</v>
      </c>
      <c r="F71" s="936">
        <f>SUMIF($T$39:$AH$39,F70,$T$40:$AH$40)</f>
        <v>0</v>
      </c>
      <c r="G71" s="936"/>
      <c r="H71" s="160" t="s">
        <v>1791</v>
      </c>
      <c r="I71" s="936">
        <v>0.03</v>
      </c>
      <c r="J71" s="936"/>
      <c r="K71" s="18" t="s">
        <v>1790</v>
      </c>
      <c r="L71" s="936">
        <f>SUMIF($T$39:$AH$39,L70,$T$40:$AH$40)</f>
        <v>0</v>
      </c>
      <c r="M71" s="936"/>
      <c r="N71" s="160" t="s">
        <v>1792</v>
      </c>
      <c r="O71" s="242" t="str">
        <f>IF(F70="","",IF(C71*F71-I71*L71&lt;=0,"",C71*F71-I71*L71))</f>
        <v/>
      </c>
      <c r="P71" s="846"/>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3">
      <c r="B72" s="270" t="s">
        <v>1387</v>
      </c>
      <c r="C72" s="1552" t="str">
        <f>IF(AND(O67&lt;&gt;"",U44=1),"ERROR: Record strength for 'Overall' or specific muscles, not both.","")</f>
        <v/>
      </c>
      <c r="D72" s="1552"/>
      <c r="E72" s="1552"/>
      <c r="F72" s="1552"/>
      <c r="G72" s="1552"/>
      <c r="H72" s="1552"/>
      <c r="I72" s="1552"/>
      <c r="J72" s="1552"/>
      <c r="K72" s="1552"/>
      <c r="L72" s="1552"/>
      <c r="M72" s="1552"/>
      <c r="N72" s="282" t="s">
        <v>1792</v>
      </c>
      <c r="O72" s="283">
        <f>IF(C72&lt;&gt;"","ERROR",IF(AND(O67="",O69="",O71=""),0,AVERAGE(O67,O69,O71)))</f>
        <v>0</v>
      </c>
      <c r="P72" s="847"/>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3">
      <c r="B73" s="1195"/>
      <c r="C73" s="1195"/>
      <c r="D73" s="1195"/>
      <c r="E73" s="1195"/>
      <c r="F73" s="1195"/>
      <c r="G73" s="1195"/>
      <c r="H73" s="1195"/>
      <c r="I73" s="1195"/>
      <c r="J73" s="1195"/>
      <c r="K73" s="1195"/>
      <c r="L73" s="1195"/>
      <c r="M73" s="1195"/>
      <c r="N73" s="1195"/>
      <c r="O73" s="1195"/>
      <c r="P73" s="1195"/>
      <c r="Q73" s="6"/>
      <c r="R73" s="109"/>
      <c r="S73" s="34"/>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3">
      <c r="B74" s="1195"/>
      <c r="C74" s="1195"/>
      <c r="D74" s="1195"/>
      <c r="E74" s="1195"/>
      <c r="F74" s="1195"/>
      <c r="G74" s="1195"/>
      <c r="H74" s="1195"/>
      <c r="I74" s="1195"/>
      <c r="J74" s="1195"/>
      <c r="K74" s="1195"/>
      <c r="L74" s="1195"/>
      <c r="M74" s="1195"/>
      <c r="N74" s="1195"/>
      <c r="O74" s="1195"/>
      <c r="P74" s="1195"/>
      <c r="Q74" s="6"/>
      <c r="R74" s="109"/>
      <c r="S74" s="34"/>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3">
      <c r="B75" s="417" t="s">
        <v>1385</v>
      </c>
      <c r="C75" s="925"/>
      <c r="D75" s="925"/>
      <c r="E75" s="146"/>
      <c r="F75" s="1028"/>
      <c r="G75" s="1028"/>
      <c r="H75" s="370"/>
      <c r="I75" s="925"/>
      <c r="J75" s="925"/>
      <c r="K75" s="146"/>
      <c r="L75" s="1028"/>
      <c r="M75" s="1028"/>
      <c r="N75" s="370"/>
      <c r="O75" s="308"/>
      <c r="P75" s="845"/>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3">
      <c r="B76" s="420" t="s">
        <v>1001</v>
      </c>
      <c r="C76" s="936">
        <v>0.09</v>
      </c>
      <c r="D76" s="936"/>
      <c r="E76" s="18" t="s">
        <v>1790</v>
      </c>
      <c r="F76" s="936">
        <f>SUMIF($T$39:$AH$39,F75,$T$40:$AH$40)</f>
        <v>0</v>
      </c>
      <c r="G76" s="936"/>
      <c r="H76" s="160" t="s">
        <v>1791</v>
      </c>
      <c r="I76" s="936">
        <v>0.09</v>
      </c>
      <c r="J76" s="936"/>
      <c r="K76" s="18" t="s">
        <v>1790</v>
      </c>
      <c r="L76" s="936">
        <f>SUMIF($T$39:$AH$39,L75,$T$40:$AH$40)</f>
        <v>0</v>
      </c>
      <c r="M76" s="936"/>
      <c r="N76" s="160" t="s">
        <v>1792</v>
      </c>
      <c r="O76" s="242" t="str">
        <f>IF(F75="","",IF(C76*F76-I76*L76&lt;=0,"",C76*F76-I76*L76))</f>
        <v/>
      </c>
      <c r="P76" s="846"/>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3">
      <c r="B77" s="1343" t="s">
        <v>224</v>
      </c>
      <c r="C77" s="847"/>
      <c r="D77" s="847"/>
      <c r="E77" s="233"/>
      <c r="F77" s="1535"/>
      <c r="G77" s="1535"/>
      <c r="H77" s="419"/>
      <c r="I77" s="847"/>
      <c r="J77" s="847"/>
      <c r="K77" s="233"/>
      <c r="L77" s="1535"/>
      <c r="M77" s="1535"/>
      <c r="N77" s="419"/>
      <c r="O77" s="111"/>
      <c r="P77" s="846"/>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3">
      <c r="B78" s="1344"/>
      <c r="C78" s="936">
        <v>0.09</v>
      </c>
      <c r="D78" s="936"/>
      <c r="E78" s="18" t="s">
        <v>1790</v>
      </c>
      <c r="F78" s="936">
        <f>SUMIF($T$39:$AH$39,F77,$T$40:$AH$40)</f>
        <v>0</v>
      </c>
      <c r="G78" s="936"/>
      <c r="H78" s="160" t="s">
        <v>1791</v>
      </c>
      <c r="I78" s="936">
        <v>0.09</v>
      </c>
      <c r="J78" s="936"/>
      <c r="K78" s="18" t="s">
        <v>1790</v>
      </c>
      <c r="L78" s="936">
        <f>SUMIF($T$39:$AH$39,L77,$T$40:$AH$40)</f>
        <v>0</v>
      </c>
      <c r="M78" s="936"/>
      <c r="N78" s="160" t="s">
        <v>1792</v>
      </c>
      <c r="O78" s="242" t="str">
        <f>IF(F77="","",IF(C78*F78-I78*L78&lt;=0,"",C78*F78-I78*L78))</f>
        <v/>
      </c>
      <c r="P78" s="846"/>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3">
      <c r="B79" s="1343" t="s">
        <v>225</v>
      </c>
      <c r="C79" s="847"/>
      <c r="D79" s="847"/>
      <c r="E79" s="233"/>
      <c r="F79" s="1535"/>
      <c r="G79" s="1535"/>
      <c r="H79" s="419"/>
      <c r="I79" s="847"/>
      <c r="J79" s="847"/>
      <c r="K79" s="233"/>
      <c r="L79" s="1535"/>
      <c r="M79" s="1535"/>
      <c r="N79" s="419"/>
      <c r="O79" s="111"/>
      <c r="P79" s="846"/>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3">
      <c r="B80" s="1344"/>
      <c r="C80" s="936">
        <v>0.09</v>
      </c>
      <c r="D80" s="936"/>
      <c r="E80" s="18" t="s">
        <v>1790</v>
      </c>
      <c r="F80" s="936">
        <f>SUMIF($T$39:$AH$39,F79,$T$40:$AH$40)</f>
        <v>0</v>
      </c>
      <c r="G80" s="936"/>
      <c r="H80" s="160" t="s">
        <v>1791</v>
      </c>
      <c r="I80" s="936">
        <v>0.09</v>
      </c>
      <c r="J80" s="936"/>
      <c r="K80" s="18" t="s">
        <v>1790</v>
      </c>
      <c r="L80" s="936">
        <f>SUMIF($T$39:$AH$39,L79,$T$40:$AH$40)</f>
        <v>0</v>
      </c>
      <c r="M80" s="936"/>
      <c r="N80" s="160" t="s">
        <v>1792</v>
      </c>
      <c r="O80" s="242" t="str">
        <f>IF(F79="","",IF(C80*F80-I80*L80&lt;=0,"",C80*F80-I80*L80))</f>
        <v/>
      </c>
      <c r="P80" s="846"/>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3">
      <c r="B81" s="270" t="s">
        <v>1731</v>
      </c>
      <c r="C81" s="1548" t="str">
        <f>IF(AND(O76&lt;&gt;"",V44=1),"ERROR: Record strength for 'Overall' or specific muscles, not both.","")</f>
        <v/>
      </c>
      <c r="D81" s="1548"/>
      <c r="E81" s="1548"/>
      <c r="F81" s="1548"/>
      <c r="G81" s="1548"/>
      <c r="H81" s="1548"/>
      <c r="I81" s="1548"/>
      <c r="J81" s="1548"/>
      <c r="K81" s="1548"/>
      <c r="L81" s="1548"/>
      <c r="M81" s="1548"/>
      <c r="N81" s="160" t="s">
        <v>1792</v>
      </c>
      <c r="O81" s="242">
        <f>IF(C81&lt;&gt;"","ERROR",IF(AND(O76="",O78="",O80=""),0,AVERAGE(O76,O78,O80)))</f>
        <v>0</v>
      </c>
      <c r="P81" s="846"/>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3">
      <c r="B82" s="421" t="s">
        <v>1386</v>
      </c>
      <c r="C82" s="847"/>
      <c r="D82" s="847"/>
      <c r="E82" s="233"/>
      <c r="F82" s="1535"/>
      <c r="G82" s="1535"/>
      <c r="H82" s="419"/>
      <c r="I82" s="847"/>
      <c r="J82" s="847"/>
      <c r="K82" s="233"/>
      <c r="L82" s="1535"/>
      <c r="M82" s="1535"/>
      <c r="N82" s="419"/>
      <c r="O82" s="358"/>
      <c r="P82" s="846"/>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3">
      <c r="B83" s="420" t="s">
        <v>226</v>
      </c>
      <c r="C83" s="936">
        <v>0.06</v>
      </c>
      <c r="D83" s="936"/>
      <c r="E83" s="18" t="s">
        <v>1790</v>
      </c>
      <c r="F83" s="936">
        <f>SUMIF($T$39:$AH$39,F82,$T$40:$AH$40)</f>
        <v>0</v>
      </c>
      <c r="G83" s="936"/>
      <c r="H83" s="160" t="s">
        <v>1791</v>
      </c>
      <c r="I83" s="936">
        <v>0.06</v>
      </c>
      <c r="J83" s="936"/>
      <c r="K83" s="18" t="s">
        <v>1790</v>
      </c>
      <c r="L83" s="936">
        <f>SUMIF($T$39:$AH$39,L82,$T$40:$AH$40)</f>
        <v>0</v>
      </c>
      <c r="M83" s="936"/>
      <c r="N83" s="160" t="s">
        <v>1792</v>
      </c>
      <c r="O83" s="243">
        <f>IF(C83*F83-I83*L83&lt;0,0,C83*F83-I83*L83)</f>
        <v>0</v>
      </c>
      <c r="P83" s="847"/>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3">
      <c r="B84" s="1546" t="s">
        <v>227</v>
      </c>
      <c r="C84" s="1547"/>
      <c r="D84" s="1547"/>
      <c r="E84" s="1547"/>
      <c r="F84" s="1547"/>
      <c r="G84" s="1547"/>
      <c r="H84" s="1547"/>
      <c r="I84" s="1547"/>
      <c r="J84" s="1547"/>
      <c r="K84" s="1547"/>
      <c r="L84" s="1547"/>
      <c r="M84" s="1547"/>
      <c r="N84" s="1547"/>
      <c r="O84" s="1547"/>
      <c r="P84" s="27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3">
      <c r="B85" s="1195"/>
      <c r="C85" s="1195"/>
      <c r="D85" s="1195"/>
      <c r="E85" s="1195"/>
      <c r="F85" s="1195"/>
      <c r="G85" s="1195"/>
      <c r="H85" s="1195"/>
      <c r="I85" s="1195"/>
      <c r="J85" s="1195"/>
      <c r="K85" s="1195"/>
      <c r="L85" s="1195"/>
      <c r="M85" s="1195"/>
      <c r="N85" s="1195"/>
      <c r="O85" s="1195"/>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3">
      <c r="B86" s="947" t="s">
        <v>596</v>
      </c>
      <c r="C86" s="878"/>
      <c r="D86" s="878"/>
      <c r="E86" s="878"/>
      <c r="F86" s="878"/>
      <c r="G86" s="878"/>
      <c r="H86" s="878"/>
      <c r="I86" s="878"/>
      <c r="J86" s="878"/>
      <c r="K86" s="878"/>
      <c r="L86" s="878"/>
      <c r="M86" s="878"/>
      <c r="N86" s="878"/>
      <c r="O86" s="878"/>
      <c r="P86" s="146"/>
      <c r="Q86" s="6"/>
      <c r="R86" s="77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3">
      <c r="B87" s="776" t="s">
        <v>607</v>
      </c>
      <c r="C87" s="776"/>
      <c r="D87" s="776"/>
      <c r="E87" s="776"/>
      <c r="F87" s="776"/>
      <c r="G87" s="776"/>
      <c r="H87" s="776"/>
      <c r="I87" s="776"/>
      <c r="J87" s="776"/>
      <c r="K87" s="776"/>
      <c r="L87" s="776"/>
      <c r="M87" s="776"/>
      <c r="N87" s="776"/>
      <c r="O87" s="776"/>
      <c r="P87" s="146"/>
      <c r="Q87" s="6"/>
      <c r="R87" s="77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3">
      <c r="A88" s="15"/>
      <c r="B88" s="806" t="s">
        <v>948</v>
      </c>
      <c r="C88" s="806"/>
      <c r="D88" s="806"/>
      <c r="E88" s="806"/>
      <c r="F88" s="806"/>
      <c r="G88" s="806"/>
      <c r="H88" s="806"/>
      <c r="I88" s="806"/>
      <c r="J88" s="806"/>
      <c r="K88" s="1534"/>
      <c r="L88" s="1534"/>
      <c r="M88" s="1534"/>
      <c r="N88" s="1534"/>
      <c r="O88" s="1534"/>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3">
      <c r="B89" s="1195"/>
      <c r="C89" s="1195"/>
      <c r="D89" s="1195"/>
      <c r="E89" s="1195"/>
      <c r="F89" s="1195"/>
      <c r="G89" s="1195"/>
      <c r="H89" s="1195"/>
      <c r="I89" s="1195"/>
      <c r="J89" s="1195"/>
      <c r="K89" s="1195"/>
      <c r="L89" s="1195"/>
      <c r="M89" s="1195"/>
      <c r="N89" s="1195"/>
      <c r="O89" s="1195"/>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3">
      <c r="B90" s="879" t="s">
        <v>507</v>
      </c>
      <c r="C90" s="880"/>
      <c r="D90" s="880"/>
      <c r="E90" s="880"/>
      <c r="F90" s="881"/>
      <c r="G90" s="922" t="s">
        <v>1524</v>
      </c>
      <c r="H90" s="926"/>
      <c r="I90" s="926"/>
      <c r="J90" s="926"/>
      <c r="K90" s="1528" t="str">
        <f>IF(AND(Y91=0,Y93=1),Z94,"")</f>
        <v/>
      </c>
      <c r="L90" s="1529"/>
      <c r="M90" s="1529"/>
      <c r="N90" s="1529"/>
      <c r="O90" s="1530"/>
      <c r="P90" s="1549">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3">
      <c r="B91" s="806" t="s">
        <v>1958</v>
      </c>
      <c r="C91" s="806"/>
      <c r="D91" s="806"/>
      <c r="E91" s="770">
        <f>P19</f>
        <v>0</v>
      </c>
      <c r="F91" s="770"/>
      <c r="G91" s="874"/>
      <c r="H91" s="876"/>
      <c r="I91" s="1544">
        <f>IF(AND(S91&lt;0.01,S91&gt;0),0.01,ROUND(S91,2))</f>
        <v>0</v>
      </c>
      <c r="J91" s="1545"/>
      <c r="K91" s="1531"/>
      <c r="L91" s="1532"/>
      <c r="M91" s="1532"/>
      <c r="N91" s="1532"/>
      <c r="O91" s="1533"/>
      <c r="P91" s="1550"/>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3">
      <c r="B92" s="806" t="s">
        <v>228</v>
      </c>
      <c r="C92" s="806"/>
      <c r="D92" s="806"/>
      <c r="E92" s="770">
        <f>P22</f>
        <v>0</v>
      </c>
      <c r="F92" s="770"/>
      <c r="G92" s="1337" t="s">
        <v>1941</v>
      </c>
      <c r="H92" s="1001"/>
      <c r="I92" s="1337"/>
      <c r="J92" s="1001"/>
      <c r="K92" s="1531"/>
      <c r="L92" s="1532"/>
      <c r="M92" s="1532"/>
      <c r="N92" s="1532"/>
      <c r="O92" s="1533"/>
      <c r="P92" s="1550"/>
      <c r="Q92" s="6"/>
      <c r="S92" s="208"/>
      <c r="T92" s="208">
        <f>E92</f>
        <v>0</v>
      </c>
      <c r="U92" s="84">
        <f>LARGE($T$91:$T$98,2)</f>
        <v>0</v>
      </c>
      <c r="V92" s="12">
        <f t="shared" ref="V92:V97" si="4">W91+U93*(1-W91)</f>
        <v>0</v>
      </c>
      <c r="W92" s="52">
        <f t="shared" si="3"/>
        <v>0</v>
      </c>
      <c r="X92" s="6"/>
      <c r="Y92" s="13">
        <f>IF(SUM(E92:F96)&gt;0,0,1)</f>
        <v>1</v>
      </c>
      <c r="Z92" s="2" t="s">
        <v>2265</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3">
      <c r="B93" s="806" t="s">
        <v>1634</v>
      </c>
      <c r="C93" s="806"/>
      <c r="D93" s="806"/>
      <c r="E93" s="770">
        <f>P23</f>
        <v>0</v>
      </c>
      <c r="F93" s="770"/>
      <c r="G93" s="1337" t="s">
        <v>1941</v>
      </c>
      <c r="H93" s="1001"/>
      <c r="I93" s="1337"/>
      <c r="J93" s="1001"/>
      <c r="K93" s="1531"/>
      <c r="L93" s="1532"/>
      <c r="M93" s="1532"/>
      <c r="N93" s="1532"/>
      <c r="O93" s="1533"/>
      <c r="P93" s="1550"/>
      <c r="Q93" s="6"/>
      <c r="S93" s="208"/>
      <c r="T93" s="208">
        <f>E93</f>
        <v>0</v>
      </c>
      <c r="U93" s="84">
        <f>LARGE($T$91:$T$98,3)</f>
        <v>0</v>
      </c>
      <c r="V93" s="12">
        <f t="shared" si="4"/>
        <v>0</v>
      </c>
      <c r="W93" s="52">
        <f t="shared" si="3"/>
        <v>0</v>
      </c>
      <c r="X93" s="6"/>
      <c r="Y93" s="13">
        <f>IF(G91&gt;0,1,0)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3">
      <c r="B94" s="806" t="s">
        <v>1635</v>
      </c>
      <c r="C94" s="806"/>
      <c r="D94" s="806"/>
      <c r="E94" s="770">
        <f>P24</f>
        <v>0</v>
      </c>
      <c r="F94" s="770"/>
      <c r="G94" s="1337" t="s">
        <v>1941</v>
      </c>
      <c r="H94" s="1001"/>
      <c r="I94" s="1337"/>
      <c r="J94" s="1001"/>
      <c r="K94" s="1531"/>
      <c r="L94" s="1532"/>
      <c r="M94" s="1532"/>
      <c r="N94" s="1532"/>
      <c r="O94" s="1533"/>
      <c r="P94" s="1550"/>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3">
      <c r="B95" s="806" t="s">
        <v>1636</v>
      </c>
      <c r="C95" s="806"/>
      <c r="D95" s="806"/>
      <c r="E95" s="770">
        <f>P25</f>
        <v>0</v>
      </c>
      <c r="F95" s="770"/>
      <c r="G95" s="1337" t="s">
        <v>1941</v>
      </c>
      <c r="H95" s="1001"/>
      <c r="I95" s="1337"/>
      <c r="J95" s="1001"/>
      <c r="K95" s="1531"/>
      <c r="L95" s="1532"/>
      <c r="M95" s="1532"/>
      <c r="N95" s="1532"/>
      <c r="O95" s="1533"/>
      <c r="P95" s="1550"/>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3">
      <c r="B96" s="776" t="s">
        <v>1637</v>
      </c>
      <c r="C96" s="806"/>
      <c r="D96" s="806"/>
      <c r="E96" s="770">
        <f>P31</f>
        <v>0</v>
      </c>
      <c r="F96" s="770"/>
      <c r="G96" s="1337" t="s">
        <v>1941</v>
      </c>
      <c r="H96" s="1001"/>
      <c r="I96" s="1337"/>
      <c r="J96" s="1001"/>
      <c r="K96" s="630"/>
      <c r="L96" s="631"/>
      <c r="M96" s="631"/>
      <c r="N96" s="631"/>
      <c r="O96" s="632"/>
      <c r="P96" s="1550"/>
      <c r="Q96" s="6"/>
      <c r="S96" s="208"/>
      <c r="T96" s="208">
        <f>E96</f>
        <v>0</v>
      </c>
      <c r="U96" s="84">
        <f>LARGE($T$91:$T$98,6)</f>
        <v>0</v>
      </c>
      <c r="V96" s="12">
        <f t="shared" si="4"/>
        <v>0</v>
      </c>
      <c r="W96" s="52">
        <f t="shared" si="3"/>
        <v>0</v>
      </c>
      <c r="X96" s="6"/>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3">
      <c r="B97" s="806" t="s">
        <v>1638</v>
      </c>
      <c r="C97" s="806"/>
      <c r="D97" s="806"/>
      <c r="E97" s="770">
        <f>P84</f>
        <v>0</v>
      </c>
      <c r="F97" s="770"/>
      <c r="G97" s="874"/>
      <c r="H97" s="876"/>
      <c r="I97" s="1544">
        <f>IF(AND(S97&lt;0.01,S97&gt;0),0.01,ROUND(S97,2))</f>
        <v>0</v>
      </c>
      <c r="J97" s="1545"/>
      <c r="K97" s="630"/>
      <c r="L97" s="631"/>
      <c r="M97" s="631"/>
      <c r="N97" s="631"/>
      <c r="O97" s="632"/>
      <c r="P97" s="1550"/>
      <c r="Q97" s="6"/>
      <c r="S97" s="207">
        <f>IF(G97&gt;0,E97*G97,0)</f>
        <v>0</v>
      </c>
      <c r="T97" s="208">
        <f>IF(I97&gt;0,I97,E97)</f>
        <v>0</v>
      </c>
      <c r="U97" s="84">
        <f>LARGE($T$91:$T$98,7)</f>
        <v>0</v>
      </c>
      <c r="V97" s="12">
        <f t="shared" si="4"/>
        <v>0</v>
      </c>
      <c r="W97" s="52">
        <f t="shared" si="3"/>
        <v>0</v>
      </c>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3">
      <c r="B98" s="806" t="s">
        <v>1961</v>
      </c>
      <c r="C98" s="806"/>
      <c r="D98" s="806"/>
      <c r="E98" s="770">
        <f>P88</f>
        <v>0</v>
      </c>
      <c r="F98" s="770"/>
      <c r="G98" s="874"/>
      <c r="H98" s="876"/>
      <c r="I98" s="1544">
        <f>IF(AND(S98&lt;0.01,S98&gt;0),0.01,ROUND(S98,2))</f>
        <v>0</v>
      </c>
      <c r="J98" s="1545"/>
      <c r="K98" s="630"/>
      <c r="L98" s="631"/>
      <c r="M98" s="631"/>
      <c r="N98" s="631"/>
      <c r="O98" s="632"/>
      <c r="P98" s="1550"/>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3">
      <c r="B99" s="1001"/>
      <c r="C99" s="1525"/>
      <c r="D99" s="1525"/>
      <c r="E99" s="1525"/>
      <c r="F99" s="1525"/>
      <c r="G99" s="1525"/>
      <c r="H99" s="1525"/>
      <c r="I99" s="1525"/>
      <c r="J99" s="1526"/>
      <c r="K99" s="1522" t="s">
        <v>2250</v>
      </c>
      <c r="L99" s="1523"/>
      <c r="M99" s="1523"/>
      <c r="N99" s="1523"/>
      <c r="O99" s="1524"/>
      <c r="P99" s="1551"/>
      <c r="Q99" s="6"/>
      <c r="S99" s="7"/>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35">
      <c r="B100" s="1049" t="s">
        <v>947</v>
      </c>
      <c r="C100" s="1049"/>
      <c r="D100" s="1049"/>
      <c r="E100" s="1049"/>
      <c r="F100" s="1049"/>
      <c r="G100" s="1049"/>
      <c r="H100" s="1049"/>
      <c r="I100" s="1049"/>
      <c r="J100" s="1049"/>
      <c r="K100" s="1049"/>
      <c r="L100" s="1049"/>
      <c r="M100" s="1049"/>
      <c r="N100" s="1049"/>
      <c r="O100" s="1049"/>
      <c r="P100" s="1049"/>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35">
      <c r="B101" s="247" t="s">
        <v>790</v>
      </c>
      <c r="C101" s="1336" t="str">
        <f>IF(U1&lt;&gt;"",U1,"")</f>
        <v>Go to PPD Worksheet</v>
      </c>
      <c r="D101" s="1336"/>
      <c r="E101" s="1336"/>
      <c r="F101" s="1336"/>
      <c r="G101" s="1336"/>
      <c r="H101" s="1336"/>
      <c r="I101" s="1527" t="str">
        <f>IF(T1&lt;&gt;"",T1,"")</f>
        <v/>
      </c>
      <c r="J101" s="1527"/>
      <c r="K101" s="1527"/>
      <c r="L101" s="1527"/>
      <c r="M101" s="1527"/>
      <c r="N101" s="1527"/>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3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3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3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customHeight="1" x14ac:dyDescent="0.3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customHeight="1" x14ac:dyDescent="0.35">
      <c r="B106" s="1516" t="s">
        <v>2267</v>
      </c>
      <c r="C106" s="1517"/>
      <c r="D106" s="145"/>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customHeight="1" x14ac:dyDescent="0.35">
      <c r="B107" s="1518"/>
      <c r="C107" s="1519"/>
      <c r="D107" s="425"/>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customHeight="1" x14ac:dyDescent="0.35">
      <c r="B108" s="1520"/>
      <c r="C108" s="1521"/>
      <c r="D108" s="384"/>
      <c r="E108" s="1543"/>
      <c r="F108" s="792"/>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customHeight="1" x14ac:dyDescent="0.3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x14ac:dyDescent="0.3">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378"/>
      <c r="CO110" s="9"/>
      <c r="CP110" s="378"/>
      <c r="CR110" s="9"/>
      <c r="CS110" s="378"/>
      <c r="CU110" s="9"/>
      <c r="CV110" s="378"/>
      <c r="CX110" s="9"/>
      <c r="CY110" s="378"/>
      <c r="DA110" s="9"/>
      <c r="DB110" s="378"/>
      <c r="DD110" s="9"/>
      <c r="DE110" s="378"/>
      <c r="DG110" s="9"/>
      <c r="DH110" s="378"/>
      <c r="DJ110" s="9"/>
      <c r="DK110" s="378"/>
      <c r="DM110" s="9"/>
      <c r="DN110" s="378"/>
      <c r="DP110" s="9"/>
      <c r="DQ110" s="378"/>
      <c r="DS110" s="9"/>
      <c r="DT110" s="378"/>
      <c r="DV110" s="9"/>
      <c r="DW110" s="378"/>
      <c r="DY110" s="9"/>
      <c r="DZ110" s="378"/>
      <c r="EB110" s="9"/>
      <c r="EC110" s="378"/>
      <c r="EE110" s="9"/>
      <c r="EF110" s="378"/>
      <c r="EH110" s="9"/>
      <c r="EI110" s="378"/>
      <c r="EK110" s="9"/>
      <c r="EL110" s="378"/>
      <c r="EN110" s="9"/>
      <c r="EO110" s="378"/>
      <c r="EQ110" s="9"/>
      <c r="ER110" s="378"/>
      <c r="ET110" s="9"/>
      <c r="EU110" s="378"/>
      <c r="EW110" s="9"/>
      <c r="EX110" s="378"/>
      <c r="EZ110" s="9"/>
      <c r="FA110" s="378"/>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3">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378"/>
      <c r="CO111" s="9"/>
      <c r="CP111" s="378"/>
      <c r="CR111" s="9"/>
      <c r="CS111" s="378"/>
      <c r="CU111" s="9"/>
      <c r="CV111" s="378"/>
      <c r="CX111" s="9"/>
      <c r="CY111" s="378"/>
      <c r="DA111" s="9"/>
      <c r="DB111" s="378"/>
      <c r="DD111" s="9"/>
      <c r="DE111" s="378"/>
      <c r="DG111" s="9"/>
      <c r="DH111" s="378"/>
      <c r="DJ111" s="9"/>
      <c r="DK111" s="378"/>
      <c r="DM111" s="9"/>
      <c r="DN111" s="378"/>
      <c r="DP111" s="9"/>
      <c r="DQ111" s="378"/>
      <c r="DS111" s="9"/>
      <c r="DT111" s="378"/>
      <c r="DV111" s="9"/>
      <c r="DW111" s="378"/>
      <c r="DY111" s="9"/>
      <c r="DZ111" s="378"/>
      <c r="EB111" s="9"/>
      <c r="EC111" s="378"/>
      <c r="EE111" s="9"/>
      <c r="EF111" s="378"/>
      <c r="EH111" s="9"/>
      <c r="EI111" s="378"/>
      <c r="EK111" s="9"/>
      <c r="EL111" s="378"/>
      <c r="EN111" s="9"/>
      <c r="EO111" s="378"/>
      <c r="EQ111" s="9"/>
      <c r="ER111" s="378"/>
      <c r="ET111" s="9"/>
      <c r="EU111" s="378"/>
      <c r="EW111" s="9"/>
      <c r="EX111" s="378"/>
      <c r="EZ111" s="9"/>
      <c r="FA111" s="378"/>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3">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x14ac:dyDescent="0.3">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x14ac:dyDescent="0.3">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x14ac:dyDescent="0.3">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x14ac:dyDescent="0.3">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x14ac:dyDescent="0.3">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x14ac:dyDescent="0.3">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x14ac:dyDescent="0.3">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x14ac:dyDescent="0.3">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x14ac:dyDescent="0.3">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x14ac:dyDescent="0.3">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x14ac:dyDescent="0.3">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x14ac:dyDescent="0.3">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x14ac:dyDescent="0.3">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x14ac:dyDescent="0.3">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x14ac:dyDescent="0.3">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x14ac:dyDescent="0.3">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x14ac:dyDescent="0.3">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x14ac:dyDescent="0.3">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x14ac:dyDescent="0.3">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x14ac:dyDescent="0.3">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x14ac:dyDescent="0.3">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x14ac:dyDescent="0.3">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x14ac:dyDescent="0.3">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x14ac:dyDescent="0.3">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x14ac:dyDescent="0.3">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x14ac:dyDescent="0.3">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x14ac:dyDescent="0.3">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x14ac:dyDescent="0.3">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x14ac:dyDescent="0.3">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x14ac:dyDescent="0.3">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x14ac:dyDescent="0.3">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x14ac:dyDescent="0.3">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x14ac:dyDescent="0.3">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x14ac:dyDescent="0.3">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x14ac:dyDescent="0.3">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x14ac:dyDescent="0.3">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x14ac:dyDescent="0.3">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x14ac:dyDescent="0.3">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x14ac:dyDescent="0.3">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x14ac:dyDescent="0.3">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x14ac:dyDescent="0.3">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x14ac:dyDescent="0.3">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x14ac:dyDescent="0.3">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x14ac:dyDescent="0.3">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x14ac:dyDescent="0.3">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x14ac:dyDescent="0.3">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x14ac:dyDescent="0.3">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x14ac:dyDescent="0.3">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x14ac:dyDescent="0.3">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x14ac:dyDescent="0.3">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x14ac:dyDescent="0.3">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x14ac:dyDescent="0.3">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x14ac:dyDescent="0.3">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x14ac:dyDescent="0.3">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x14ac:dyDescent="0.3">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x14ac:dyDescent="0.3">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x14ac:dyDescent="0.3">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x14ac:dyDescent="0.3">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x14ac:dyDescent="0.3">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x14ac:dyDescent="0.3">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x14ac:dyDescent="0.3">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x14ac:dyDescent="0.3">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x14ac:dyDescent="0.3">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x14ac:dyDescent="0.3">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x14ac:dyDescent="0.3">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x14ac:dyDescent="0.3">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x14ac:dyDescent="0.3">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x14ac:dyDescent="0.3">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x14ac:dyDescent="0.3">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x14ac:dyDescent="0.3">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x14ac:dyDescent="0.3">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x14ac:dyDescent="0.3">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x14ac:dyDescent="0.3">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x14ac:dyDescent="0.3">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x14ac:dyDescent="0.3">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x14ac:dyDescent="0.3">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x14ac:dyDescent="0.3">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x14ac:dyDescent="0.3">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x14ac:dyDescent="0.3">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x14ac:dyDescent="0.3">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x14ac:dyDescent="0.3">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x14ac:dyDescent="0.3">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x14ac:dyDescent="0.3">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x14ac:dyDescent="0.3">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x14ac:dyDescent="0.3">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x14ac:dyDescent="0.3">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x14ac:dyDescent="0.3">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x14ac:dyDescent="0.3">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x14ac:dyDescent="0.3">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x14ac:dyDescent="0.3">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x14ac:dyDescent="0.3">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x14ac:dyDescent="0.3">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x14ac:dyDescent="0.3">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x14ac:dyDescent="0.3">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x14ac:dyDescent="0.3">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x14ac:dyDescent="0.3">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x14ac:dyDescent="0.3">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x14ac:dyDescent="0.3">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x14ac:dyDescent="0.3">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x14ac:dyDescent="0.3">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x14ac:dyDescent="0.3">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x14ac:dyDescent="0.3">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x14ac:dyDescent="0.3">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x14ac:dyDescent="0.3">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x14ac:dyDescent="0.3">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x14ac:dyDescent="0.3">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x14ac:dyDescent="0.3">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x14ac:dyDescent="0.3">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x14ac:dyDescent="0.3">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x14ac:dyDescent="0.3">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x14ac:dyDescent="0.3">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x14ac:dyDescent="0.3">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x14ac:dyDescent="0.3">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x14ac:dyDescent="0.3">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x14ac:dyDescent="0.3">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x14ac:dyDescent="0.3">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x14ac:dyDescent="0.3">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x14ac:dyDescent="0.3">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x14ac:dyDescent="0.3">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x14ac:dyDescent="0.3">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x14ac:dyDescent="0.3">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x14ac:dyDescent="0.3">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x14ac:dyDescent="0.3">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x14ac:dyDescent="0.3">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x14ac:dyDescent="0.3">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x14ac:dyDescent="0.3">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x14ac:dyDescent="0.3">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x14ac:dyDescent="0.3">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x14ac:dyDescent="0.3">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x14ac:dyDescent="0.3">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x14ac:dyDescent="0.3">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x14ac:dyDescent="0.3">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x14ac:dyDescent="0.3">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x14ac:dyDescent="0.3">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x14ac:dyDescent="0.3">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x14ac:dyDescent="0.3">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x14ac:dyDescent="0.3">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x14ac:dyDescent="0.3">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x14ac:dyDescent="0.3">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x14ac:dyDescent="0.3">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x14ac:dyDescent="0.3">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x14ac:dyDescent="0.3">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x14ac:dyDescent="0.3">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x14ac:dyDescent="0.3">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x14ac:dyDescent="0.3">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x14ac:dyDescent="0.3">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x14ac:dyDescent="0.3">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x14ac:dyDescent="0.3">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x14ac:dyDescent="0.3">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x14ac:dyDescent="0.3">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x14ac:dyDescent="0.3">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x14ac:dyDescent="0.3">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x14ac:dyDescent="0.3">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x14ac:dyDescent="0.3">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x14ac:dyDescent="0.3">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x14ac:dyDescent="0.3">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x14ac:dyDescent="0.3">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x14ac:dyDescent="0.3">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x14ac:dyDescent="0.3">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x14ac:dyDescent="0.3">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x14ac:dyDescent="0.3">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x14ac:dyDescent="0.3">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x14ac:dyDescent="0.3">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x14ac:dyDescent="0.3">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x14ac:dyDescent="0.3">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x14ac:dyDescent="0.3">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x14ac:dyDescent="0.3">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x14ac:dyDescent="0.3">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x14ac:dyDescent="0.3">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x14ac:dyDescent="0.3">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x14ac:dyDescent="0.3">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x14ac:dyDescent="0.3">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x14ac:dyDescent="0.3">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x14ac:dyDescent="0.3">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x14ac:dyDescent="0.3">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x14ac:dyDescent="0.3">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x14ac:dyDescent="0.3">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x14ac:dyDescent="0.3">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x14ac:dyDescent="0.3">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x14ac:dyDescent="0.3">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x14ac:dyDescent="0.3">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x14ac:dyDescent="0.3">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x14ac:dyDescent="0.3">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x14ac:dyDescent="0.3">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x14ac:dyDescent="0.3">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x14ac:dyDescent="0.3">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x14ac:dyDescent="0.3">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3">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3">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3">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3">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3">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3">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3">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3">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3">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3">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3">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3">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3">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3">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3">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3">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3">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3">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3">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3">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3">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3">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3">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3">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3">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3">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3">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3">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3">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3">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3">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3">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3">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3">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3">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3">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3">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3">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3">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3">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3">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3">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3">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3">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3">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3">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3">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3">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3">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3">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3">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3">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3">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3">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3">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3">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3">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3">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3">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3">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3">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3">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3">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3">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3">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3">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3">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3">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3">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3">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3">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3">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3">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3">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3">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3">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3">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3">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3">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3">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3">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3">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3">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3">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3">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3">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3">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3">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3">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3">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3">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1">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91:H91">
    <cfRule type="cellIs" dxfId="5" priority="1" stopIfTrue="1" operator="greaterThanOrEqual">
      <formula>$Y$91</formula>
    </cfRule>
  </conditionalFormatting>
  <dataValidations xWindow="448" yWindow="661"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1 G97: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31750</xdr:colOff>
                    <xdr:row>21</xdr:row>
                    <xdr:rowOff>12700</xdr:rowOff>
                  </from>
                  <to>
                    <xdr:col>1</xdr:col>
                    <xdr:colOff>1460500</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12700</xdr:rowOff>
                  </from>
                  <to>
                    <xdr:col>8</xdr:col>
                    <xdr:colOff>139700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323850</xdr:colOff>
                    <xdr:row>21</xdr:row>
                    <xdr:rowOff>12700</xdr:rowOff>
                  </from>
                  <to>
                    <xdr:col>12</xdr:col>
                    <xdr:colOff>196850</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31750</xdr:colOff>
                    <xdr:row>22</xdr:row>
                    <xdr:rowOff>12700</xdr:rowOff>
                  </from>
                  <to>
                    <xdr:col>2</xdr:col>
                    <xdr:colOff>19050</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323850</xdr:colOff>
                    <xdr:row>22</xdr:row>
                    <xdr:rowOff>12700</xdr:rowOff>
                  </from>
                  <to>
                    <xdr:col>14</xdr:col>
                    <xdr:colOff>266700</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31750</xdr:colOff>
                    <xdr:row>23</xdr:row>
                    <xdr:rowOff>12700</xdr:rowOff>
                  </from>
                  <to>
                    <xdr:col>1</xdr:col>
                    <xdr:colOff>1568450</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323850</xdr:colOff>
                    <xdr:row>23</xdr:row>
                    <xdr:rowOff>12700</xdr:rowOff>
                  </from>
                  <to>
                    <xdr:col>14</xdr:col>
                    <xdr:colOff>266700</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31750</xdr:colOff>
                    <xdr:row>24</xdr:row>
                    <xdr:rowOff>12700</xdr:rowOff>
                  </from>
                  <to>
                    <xdr:col>3</xdr:col>
                    <xdr:colOff>152400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323850</xdr:colOff>
                    <xdr:row>24</xdr:row>
                    <xdr:rowOff>12700</xdr:rowOff>
                  </from>
                  <to>
                    <xdr:col>12</xdr:col>
                    <xdr:colOff>196850</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7"/>
  <sheetViews>
    <sheetView showGridLines="0" zoomScale="90" zoomScaleNormal="90" workbookViewId="0">
      <selection activeCell="AJ6" sqref="Q1:AJ1048576"/>
    </sheetView>
  </sheetViews>
  <sheetFormatPr defaultColWidth="3.453125" defaultRowHeight="13" x14ac:dyDescent="0.3"/>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0.54296875" style="2" hidden="1" customWidth="1"/>
    <col min="24" max="24" width="12.5429687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3">
      <c r="B1" s="10" t="s">
        <v>1732</v>
      </c>
      <c r="C1" s="747" t="str">
        <f>IF('Start here'!A6="","",'Start here'!A6)</f>
        <v/>
      </c>
      <c r="D1" s="751"/>
      <c r="E1" s="751"/>
      <c r="F1" s="751"/>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3">
      <c r="B2" s="792"/>
      <c r="C2" s="792"/>
      <c r="D2" s="792"/>
      <c r="E2" s="792"/>
      <c r="F2" s="792"/>
      <c r="G2" s="792"/>
      <c r="H2" s="792"/>
      <c r="I2" s="792"/>
      <c r="J2" s="792"/>
      <c r="K2" s="792"/>
      <c r="L2" s="792"/>
      <c r="M2" s="792"/>
      <c r="N2" s="792"/>
      <c r="O2" s="792"/>
      <c r="P2" s="792"/>
    </row>
    <row r="3" spans="2:170" ht="25.5" customHeight="1" x14ac:dyDescent="0.4">
      <c r="B3" s="793" t="s">
        <v>1904</v>
      </c>
      <c r="C3" s="1185"/>
      <c r="D3" s="1185"/>
      <c r="E3" s="1185"/>
      <c r="F3" s="1185"/>
      <c r="G3" s="1185"/>
      <c r="H3" s="1185"/>
      <c r="I3" s="1185"/>
      <c r="J3" s="1185"/>
      <c r="K3" s="1185"/>
      <c r="L3" s="1185"/>
      <c r="M3" s="1185"/>
      <c r="N3" s="1185"/>
      <c r="O3" s="1185"/>
      <c r="P3" s="1186"/>
      <c r="R3" s="10"/>
      <c r="S3" s="10"/>
      <c r="T3" s="10"/>
      <c r="U3" s="10"/>
      <c r="V3" s="10"/>
      <c r="W3" s="10"/>
      <c r="X3" s="10"/>
      <c r="Y3" s="10"/>
      <c r="Z3" s="10"/>
      <c r="AA3" s="10"/>
      <c r="AB3" s="10"/>
      <c r="AC3" s="10"/>
      <c r="AD3" s="10"/>
      <c r="AE3" s="10"/>
      <c r="AF3" s="10"/>
      <c r="AG3" s="10"/>
      <c r="AH3" s="10"/>
      <c r="AI3" s="10"/>
      <c r="AJ3" s="10"/>
      <c r="AK3" s="10"/>
      <c r="AL3" s="10"/>
      <c r="AM3" s="10"/>
    </row>
    <row r="4" spans="2:170" x14ac:dyDescent="0.3">
      <c r="B4" s="792"/>
      <c r="C4" s="792"/>
      <c r="D4" s="792"/>
      <c r="E4" s="792"/>
      <c r="F4" s="792"/>
      <c r="G4" s="792"/>
      <c r="H4" s="792"/>
      <c r="I4" s="792"/>
      <c r="J4" s="792"/>
      <c r="K4" s="792"/>
      <c r="L4" s="792"/>
      <c r="M4" s="792"/>
      <c r="N4" s="792"/>
      <c r="O4" s="792"/>
      <c r="P4" s="792"/>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3">
      <c r="B5" s="878" t="s">
        <v>1594</v>
      </c>
      <c r="C5" s="878"/>
      <c r="D5" s="878"/>
      <c r="E5" s="878"/>
      <c r="F5" s="878"/>
      <c r="G5" s="878"/>
      <c r="H5" s="878"/>
      <c r="I5" s="878"/>
      <c r="J5" s="878"/>
      <c r="K5" s="878"/>
      <c r="L5" s="878"/>
      <c r="M5" s="878"/>
      <c r="N5" s="878"/>
      <c r="O5" s="878"/>
      <c r="P5" s="845"/>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3">
      <c r="B6" s="18"/>
      <c r="C6" s="878" t="s">
        <v>1595</v>
      </c>
      <c r="D6" s="878"/>
      <c r="E6" s="878"/>
      <c r="F6" s="878"/>
      <c r="G6" s="878" t="s">
        <v>1596</v>
      </c>
      <c r="H6" s="878"/>
      <c r="I6" s="878"/>
      <c r="J6" s="878"/>
      <c r="K6" s="925"/>
      <c r="L6" s="925"/>
      <c r="M6" s="925"/>
      <c r="N6" s="925"/>
      <c r="O6" s="925"/>
      <c r="P6" s="846"/>
      <c r="Q6" s="6"/>
      <c r="R6" s="6"/>
      <c r="S6" s="13" t="s">
        <v>1597</v>
      </c>
      <c r="T6" s="1285" t="s">
        <v>211</v>
      </c>
      <c r="U6" s="1287"/>
      <c r="V6" s="1285" t="s">
        <v>194</v>
      </c>
      <c r="W6" s="1287"/>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3">
      <c r="B7" s="275" t="s">
        <v>1863</v>
      </c>
      <c r="C7" s="708"/>
      <c r="D7" s="708"/>
      <c r="E7" s="948">
        <f>'Sh-Table'!AB3</f>
        <v>0</v>
      </c>
      <c r="F7" s="1279"/>
      <c r="G7" s="708"/>
      <c r="H7" s="708"/>
      <c r="I7" s="929">
        <f>IF(C7="",0,IF(OR(C7&lt;=0,G7&lt;=0),E7,IF(G7&lt;C7,0,'Sh-Table'!AG3)))</f>
        <v>0</v>
      </c>
      <c r="J7" s="929"/>
      <c r="K7" s="946" t="str">
        <f>IF(OR(C7="NA",G7="NA"),"",IF(AND(C7&lt;&gt;"",G7=""),"Enter contralateral or NA.",IF(AND(C7="",G7&lt;&gt;""),"Need data","")))</f>
        <v/>
      </c>
      <c r="L7" s="946"/>
      <c r="M7" s="946"/>
      <c r="N7" s="946"/>
      <c r="O7" s="946"/>
      <c r="P7" s="846"/>
      <c r="Q7" s="6"/>
      <c r="R7" s="6"/>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71" t="s">
        <v>2271</v>
      </c>
      <c r="Z7" s="773"/>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3">
      <c r="B8" s="275" t="s">
        <v>1502</v>
      </c>
      <c r="C8" s="708"/>
      <c r="D8" s="708"/>
      <c r="E8" s="948">
        <f>IF(AND($Y$18=1,$Z$18=1),"ERROR",'Sh-Table'!AB4)</f>
        <v>0</v>
      </c>
      <c r="F8" s="1279"/>
      <c r="G8" s="946" t="str">
        <f>IF(AND($Z$18=1,$Y$18=1),"Cannot rate ROM and ankylosis.","")</f>
        <v/>
      </c>
      <c r="H8" s="946"/>
      <c r="I8" s="946"/>
      <c r="J8" s="946"/>
      <c r="K8" s="946"/>
      <c r="L8" s="946"/>
      <c r="M8" s="946"/>
      <c r="N8" s="946"/>
      <c r="O8" s="946"/>
      <c r="P8" s="846"/>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3">
      <c r="B9" s="275" t="s">
        <v>1503</v>
      </c>
      <c r="C9" s="708"/>
      <c r="D9" s="708"/>
      <c r="E9" s="948">
        <f>'Sh-Table'!AB5</f>
        <v>0</v>
      </c>
      <c r="F9" s="1279"/>
      <c r="G9" s="708"/>
      <c r="H9" s="708"/>
      <c r="I9" s="929">
        <f>IF(C9="",0,IF(OR(C9&lt;=0,G9&lt;=0),E9,IF(G9&lt;C9,0,'Sh-Table'!AG5)))</f>
        <v>0</v>
      </c>
      <c r="J9" s="929"/>
      <c r="K9" s="946" t="str">
        <f>IF(OR(C9="NA",G9="NA"),"",IF(AND(C9&lt;&gt;"",G9=""),"Enter contralateral or NA.",IF(AND(C9="",G9&lt;&gt;""),"Need data","")))</f>
        <v/>
      </c>
      <c r="L9" s="946"/>
      <c r="M9" s="946"/>
      <c r="N9" s="946"/>
      <c r="O9" s="946"/>
      <c r="P9" s="846"/>
      <c r="Q9" s="6"/>
      <c r="R9" s="6"/>
      <c r="S9" s="13">
        <v>50</v>
      </c>
      <c r="T9" s="13" t="str">
        <f t="shared" si="0"/>
        <v/>
      </c>
      <c r="U9" s="13" t="str">
        <f>IF(OR(G9="",G9="NA"),"",IF(G9&gt;S9,S9,IF(G9&lt;0,0,G9)))</f>
        <v/>
      </c>
      <c r="V9" s="56" t="str">
        <f>IF(W9="","",ROUND(W9,0))</f>
        <v/>
      </c>
      <c r="W9" s="113" t="str">
        <f>IF(T9="","",IF(OR(U9="",U9=0,U9&lt;T9),T9,(T9*S9)/U9))</f>
        <v/>
      </c>
      <c r="X9" s="115">
        <f>MAX(E8,E10,E12,E14,E16,E18)</f>
        <v>0</v>
      </c>
      <c r="Y9" s="757" t="s">
        <v>2268</v>
      </c>
      <c r="Z9" s="759"/>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3">
      <c r="B10" s="275" t="s">
        <v>1504</v>
      </c>
      <c r="C10" s="708"/>
      <c r="D10" s="708"/>
      <c r="E10" s="948">
        <f>IF(AND($Y$18=1,$Z$18=1),"ERROR",'Sh-Table'!AB6)</f>
        <v>0</v>
      </c>
      <c r="F10" s="1279"/>
      <c r="G10" s="946" t="str">
        <f>IF(AND($Z$18=1,$Y$18=1),"Cannot rate ROM and ankylosis.","")</f>
        <v/>
      </c>
      <c r="H10" s="946"/>
      <c r="I10" s="946"/>
      <c r="J10" s="946"/>
      <c r="K10" s="946"/>
      <c r="L10" s="946"/>
      <c r="M10" s="946"/>
      <c r="N10" s="946"/>
      <c r="O10" s="946"/>
      <c r="P10" s="846"/>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3">
      <c r="B11" s="146" t="s">
        <v>691</v>
      </c>
      <c r="C11" s="708"/>
      <c r="D11" s="708"/>
      <c r="E11" s="948">
        <f>'Sh-Table'!AB7</f>
        <v>0</v>
      </c>
      <c r="F11" s="1279"/>
      <c r="G11" s="708"/>
      <c r="H11" s="708"/>
      <c r="I11" s="929">
        <f>IF(C11="",0,IF(OR(C11&lt;=0,G11&lt;=0),E11,IF(G11&lt;C11,0,'Sh-Table'!AG7)))</f>
        <v>0</v>
      </c>
      <c r="J11" s="929"/>
      <c r="K11" s="946" t="str">
        <f>IF(OR(C11="NA",G11="NA"),"",IF(AND(C11&lt;&gt;"",G11=""),"Enter contralateral or NA.",IF(AND(C11="",G11&lt;&gt;""),"Need data","")))</f>
        <v/>
      </c>
      <c r="L11" s="946"/>
      <c r="M11" s="946"/>
      <c r="N11" s="946"/>
      <c r="O11" s="946"/>
      <c r="P11" s="846"/>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3">
      <c r="B12" s="146" t="s">
        <v>694</v>
      </c>
      <c r="C12" s="708"/>
      <c r="D12" s="708"/>
      <c r="E12" s="948">
        <f>IF(AND($Y$18=1,$Z$18=1),"ERROR",'Sh-Table'!AB8)</f>
        <v>0</v>
      </c>
      <c r="F12" s="1279"/>
      <c r="G12" s="946" t="str">
        <f>IF(AND($Z$18=1,$Y$18=1),"Cannot rate ROM and ankylosis.","")</f>
        <v/>
      </c>
      <c r="H12" s="946"/>
      <c r="I12" s="946"/>
      <c r="J12" s="946"/>
      <c r="K12" s="946"/>
      <c r="L12" s="946"/>
      <c r="M12" s="946"/>
      <c r="N12" s="946"/>
      <c r="O12" s="946"/>
      <c r="P12" s="846"/>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3">
      <c r="B13" s="146" t="s">
        <v>695</v>
      </c>
      <c r="C13" s="708"/>
      <c r="D13" s="708"/>
      <c r="E13" s="948">
        <f>'Sh-Table'!AB9</f>
        <v>0</v>
      </c>
      <c r="F13" s="1279"/>
      <c r="G13" s="708"/>
      <c r="H13" s="708"/>
      <c r="I13" s="929">
        <f>IF(C13="",0,IF(OR(C13&lt;=0,G13&lt;=0),E13,IF(G13&lt;C13,0,'Sh-Table'!AG9)))</f>
        <v>0</v>
      </c>
      <c r="J13" s="929"/>
      <c r="K13" s="946" t="str">
        <f>IF(OR(C13="NA",G13="NA"),"",IF(AND(C13&lt;&gt;"",G13=""),"Enter contralateral or NA.",IF(AND(C13="",G13&lt;&gt;""),"Need data","")))</f>
        <v/>
      </c>
      <c r="L13" s="946"/>
      <c r="M13" s="946"/>
      <c r="N13" s="946"/>
      <c r="O13" s="946"/>
      <c r="P13" s="846"/>
      <c r="Q13" s="6"/>
      <c r="R13" s="116" t="s">
        <v>696</v>
      </c>
      <c r="S13" s="13">
        <v>40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3">
      <c r="B14" s="146" t="s">
        <v>697</v>
      </c>
      <c r="C14" s="708"/>
      <c r="D14" s="708"/>
      <c r="E14" s="948">
        <f>IF(AND($Y$18=1,$Z$18=1),"ERROR",'Sh-Table'!AB10)</f>
        <v>0</v>
      </c>
      <c r="F14" s="1279"/>
      <c r="G14" s="946" t="str">
        <f>IF(AND($Z$18=1,$Y$18=1),"Cannot rate ROM and ankylosis.","")</f>
        <v/>
      </c>
      <c r="H14" s="946"/>
      <c r="I14" s="946"/>
      <c r="J14" s="946"/>
      <c r="K14" s="946"/>
      <c r="L14" s="946"/>
      <c r="M14" s="946"/>
      <c r="N14" s="946"/>
      <c r="O14" s="946"/>
      <c r="P14" s="846"/>
      <c r="Q14" s="6"/>
      <c r="R14" s="88" t="s">
        <v>698</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3">
      <c r="B15" s="146" t="s">
        <v>699</v>
      </c>
      <c r="C15" s="708"/>
      <c r="D15" s="708"/>
      <c r="E15" s="948">
        <f>'Sh-Table'!AB11</f>
        <v>0</v>
      </c>
      <c r="F15" s="1279"/>
      <c r="G15" s="708"/>
      <c r="H15" s="708"/>
      <c r="I15" s="929">
        <f>IF(C15="",0,IF(OR(C15&lt;=0,G15&lt;=0),E15,IF(G15&lt;C15,0,'Sh-Table'!AG11)))</f>
        <v>0</v>
      </c>
      <c r="J15" s="929"/>
      <c r="K15" s="946" t="str">
        <f>IF(OR(C15="NA",G15="NA"),"",IF(AND(C15&lt;&gt;"",G15=""),"Enter contralateral or NA.",IF(AND(C15="",G15&lt;&gt;""),"Need data","")))</f>
        <v/>
      </c>
      <c r="L15" s="946"/>
      <c r="M15" s="946"/>
      <c r="N15" s="946"/>
      <c r="O15" s="946"/>
      <c r="P15" s="846"/>
      <c r="Q15" s="6"/>
      <c r="R15" s="111">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3">
      <c r="B16" s="128" t="s">
        <v>591</v>
      </c>
      <c r="C16" s="708"/>
      <c r="D16" s="708"/>
      <c r="E16" s="948">
        <f>IF(AND($Y$18=1,$Z$18=1),"ERROR",'Sh-Table'!AB12)</f>
        <v>0</v>
      </c>
      <c r="F16" s="1279"/>
      <c r="G16" s="946" t="str">
        <f>IF(AND($Z$18=1,$Y$18=1),"Cannot rate ROM and ankylosis.","")</f>
        <v/>
      </c>
      <c r="H16" s="946"/>
      <c r="I16" s="946"/>
      <c r="J16" s="946"/>
      <c r="K16" s="946"/>
      <c r="L16" s="946"/>
      <c r="M16" s="946"/>
      <c r="N16" s="946"/>
      <c r="O16" s="946"/>
      <c r="P16" s="846"/>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3">
      <c r="B17" s="275" t="s">
        <v>592</v>
      </c>
      <c r="C17" s="708"/>
      <c r="D17" s="708"/>
      <c r="E17" s="948">
        <f>'Sh-Table'!AB13</f>
        <v>0</v>
      </c>
      <c r="F17" s="1279"/>
      <c r="G17" s="708"/>
      <c r="H17" s="708"/>
      <c r="I17" s="929">
        <f>IF(C17="",0,IF(OR(C17&lt;=0,G17&lt;=0),E17,IF(G17&lt;C17,0,'Sh-Table'!AG13)))</f>
        <v>0</v>
      </c>
      <c r="J17" s="929"/>
      <c r="K17" s="946" t="str">
        <f>IF(OR(C17="NA",G17="NA"),"",IF(AND(C17&lt;&gt;"",G17=""),"Enter contralateral or NA.",IF(AND(C17="",G17&lt;&gt;""),"Need data","")))</f>
        <v/>
      </c>
      <c r="L17" s="946"/>
      <c r="M17" s="946"/>
      <c r="N17" s="946"/>
      <c r="O17" s="946"/>
      <c r="P17" s="846"/>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3">
      <c r="B18" s="275" t="s">
        <v>593</v>
      </c>
      <c r="C18" s="708"/>
      <c r="D18" s="708"/>
      <c r="E18" s="948">
        <f>IF(AND($Y$18=1,$Z$18=1),"ERROR",'Sh-Table'!AB14)</f>
        <v>0</v>
      </c>
      <c r="F18" s="1279"/>
      <c r="G18" s="946" t="str">
        <f>IF(AND($Z$18=1,$Y$18=1),"Cannot rate ROM and ankylosis.","")</f>
        <v/>
      </c>
      <c r="H18" s="946"/>
      <c r="I18" s="946"/>
      <c r="J18" s="946"/>
      <c r="K18" s="946"/>
      <c r="L18" s="946"/>
      <c r="M18" s="946"/>
      <c r="N18" s="946"/>
      <c r="O18" s="946"/>
      <c r="P18" s="847"/>
      <c r="Q18" s="6"/>
      <c r="R18" s="6"/>
      <c r="S18" s="92">
        <v>70</v>
      </c>
      <c r="T18" s="13" t="str">
        <f t="shared" si="0"/>
        <v/>
      </c>
      <c r="U18" s="6"/>
      <c r="V18" s="5"/>
      <c r="W18" s="6"/>
      <c r="Y18" s="407">
        <f>IF(OR(Y12=1,Y13=1,Y14=1,Y15=1,Y16=1,Y17=1),1,0)</f>
        <v>0</v>
      </c>
      <c r="Z18" s="612">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3">
      <c r="B19" s="925"/>
      <c r="C19" s="925"/>
      <c r="D19" s="925"/>
      <c r="E19" s="925"/>
      <c r="F19" s="925"/>
      <c r="G19" s="925"/>
      <c r="H19" s="1099" t="s">
        <v>536</v>
      </c>
      <c r="I19" s="1100"/>
      <c r="J19" s="1100"/>
      <c r="K19" s="1100"/>
      <c r="L19" s="1100"/>
      <c r="M19" s="1100"/>
      <c r="N19" s="1100"/>
      <c r="O19" s="1101"/>
      <c r="P19" s="248">
        <f>IF(R15=1,"ERROR",S19)</f>
        <v>0</v>
      </c>
      <c r="Q19" s="6"/>
      <c r="R19" s="117">
        <f>IF(AND(X7&gt;0,X7&lt;0.01),0.01,X7)</f>
        <v>0</v>
      </c>
      <c r="S19" s="52">
        <f>IF(R19&lt;&gt;"ERROR",ROUND(R19,2),0)</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3">
      <c r="B20" s="1211"/>
      <c r="C20" s="1211"/>
      <c r="D20" s="1211"/>
      <c r="E20" s="1211"/>
      <c r="F20" s="1211"/>
      <c r="G20" s="1211"/>
      <c r="H20" s="1211"/>
      <c r="I20" s="1211"/>
      <c r="J20" s="1211"/>
      <c r="K20" s="1211"/>
      <c r="L20" s="1211"/>
      <c r="M20" s="1211"/>
      <c r="N20" s="1211"/>
      <c r="O20" s="1211"/>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3">
      <c r="B21" s="878" t="s">
        <v>1905</v>
      </c>
      <c r="C21" s="878"/>
      <c r="D21" s="878"/>
      <c r="E21" s="878"/>
      <c r="F21" s="878"/>
      <c r="G21" s="878"/>
      <c r="H21" s="878"/>
      <c r="I21" s="878"/>
      <c r="J21" s="878"/>
      <c r="K21" s="878"/>
      <c r="L21" s="878"/>
      <c r="M21" s="878"/>
      <c r="N21" s="878"/>
      <c r="O21" s="878"/>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3">
      <c r="A22" s="15"/>
      <c r="B22" s="1536"/>
      <c r="C22" s="1536"/>
      <c r="D22" s="1536"/>
      <c r="E22" s="1536"/>
      <c r="F22" s="1536"/>
      <c r="G22" s="1536"/>
      <c r="H22" s="1536"/>
      <c r="I22" s="1536"/>
      <c r="J22" s="1536"/>
      <c r="K22" s="1536"/>
      <c r="L22" s="1536"/>
      <c r="M22" s="1536"/>
      <c r="N22" s="1536"/>
      <c r="O22" s="1536"/>
      <c r="P22" s="281">
        <f>IF(S22=1,0.15,IF(S22=2,0.05,IF(S22=3,0,0)))</f>
        <v>0</v>
      </c>
      <c r="Q22" s="6"/>
      <c r="R22" s="1537"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3">
      <c r="B23" s="1536"/>
      <c r="C23" s="1536"/>
      <c r="D23" s="1536"/>
      <c r="E23" s="1536"/>
      <c r="F23" s="1536"/>
      <c r="G23" s="1536"/>
      <c r="H23" s="1536"/>
      <c r="I23" s="1536"/>
      <c r="J23" s="1536"/>
      <c r="K23" s="1536"/>
      <c r="L23" s="1536"/>
      <c r="M23" s="1536"/>
      <c r="N23" s="1536"/>
      <c r="O23" s="1536"/>
      <c r="P23" s="281">
        <f>IF(S23=1,0.05,0)</f>
        <v>0</v>
      </c>
      <c r="Q23" s="6"/>
      <c r="R23" s="1537"/>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3">
      <c r="B24" s="1536"/>
      <c r="C24" s="1536"/>
      <c r="D24" s="1536"/>
      <c r="E24" s="1536"/>
      <c r="F24" s="1536"/>
      <c r="G24" s="1536"/>
      <c r="H24" s="1536"/>
      <c r="I24" s="1536"/>
      <c r="J24" s="1536"/>
      <c r="K24" s="1536"/>
      <c r="L24" s="1536"/>
      <c r="M24" s="1536"/>
      <c r="N24" s="1536"/>
      <c r="O24" s="1536"/>
      <c r="P24" s="281">
        <f>IF(S24=1,0.3,0)</f>
        <v>0</v>
      </c>
      <c r="Q24" s="6"/>
      <c r="R24" s="1537"/>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3">
      <c r="B25" s="1536"/>
      <c r="C25" s="1536"/>
      <c r="D25" s="1536"/>
      <c r="E25" s="1536"/>
      <c r="F25" s="1536"/>
      <c r="G25" s="1536"/>
      <c r="H25" s="1536"/>
      <c r="I25" s="1536"/>
      <c r="J25" s="1536"/>
      <c r="K25" s="1536"/>
      <c r="L25" s="1536"/>
      <c r="M25" s="1536"/>
      <c r="N25" s="1536"/>
      <c r="O25" s="1536"/>
      <c r="P25" s="281">
        <f>IF(S25=1,0.1,0)</f>
        <v>0</v>
      </c>
      <c r="Q25" s="6"/>
      <c r="R25" s="1537"/>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3">
      <c r="B26" s="1541"/>
      <c r="C26" s="1541"/>
      <c r="D26" s="1541"/>
      <c r="E26" s="1541"/>
      <c r="F26" s="1541"/>
      <c r="G26" s="1541"/>
      <c r="H26" s="1541"/>
      <c r="I26" s="1541"/>
      <c r="J26" s="1541"/>
      <c r="K26" s="1541"/>
      <c r="L26" s="1541"/>
      <c r="M26" s="1541"/>
      <c r="N26" s="1541"/>
      <c r="O26" s="1541"/>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3">
      <c r="B27" s="878" t="s">
        <v>1906</v>
      </c>
      <c r="C27" s="878"/>
      <c r="D27" s="878"/>
      <c r="E27" s="878"/>
      <c r="F27" s="878"/>
      <c r="G27" s="878"/>
      <c r="H27" s="878"/>
      <c r="I27" s="878"/>
      <c r="J27" s="878"/>
      <c r="K27" s="878"/>
      <c r="L27" s="878"/>
      <c r="M27" s="878"/>
      <c r="N27" s="878"/>
      <c r="O27" s="878"/>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3">
      <c r="B28" s="1174" t="s">
        <v>1718</v>
      </c>
      <c r="C28" s="1174"/>
      <c r="D28" s="1174"/>
      <c r="E28" s="1174"/>
      <c r="F28" s="1174"/>
      <c r="G28" s="1174"/>
      <c r="H28" s="1174"/>
      <c r="I28" s="1174"/>
      <c r="J28" s="1174"/>
      <c r="K28" s="1174"/>
      <c r="L28" s="1174"/>
      <c r="M28" s="1174"/>
      <c r="N28" s="1174"/>
      <c r="O28" s="1174"/>
      <c r="P28" s="1189"/>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3">
      <c r="B29" s="1174"/>
      <c r="C29" s="1174"/>
      <c r="D29" s="1174"/>
      <c r="E29" s="1174"/>
      <c r="F29" s="1174"/>
      <c r="G29" s="1174"/>
      <c r="H29" s="1174"/>
      <c r="I29" s="1174"/>
      <c r="J29" s="1174"/>
      <c r="K29" s="1174"/>
      <c r="L29" s="1174"/>
      <c r="M29" s="1174"/>
      <c r="N29" s="1174"/>
      <c r="O29" s="1174"/>
      <c r="P29" s="1189"/>
      <c r="Q29" s="6"/>
      <c r="R29" s="1538" t="s">
        <v>2273</v>
      </c>
      <c r="S29" s="1538"/>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3">
      <c r="B30" s="1174"/>
      <c r="C30" s="1174"/>
      <c r="D30" s="1174"/>
      <c r="E30" s="1174"/>
      <c r="F30" s="1174"/>
      <c r="G30" s="1174"/>
      <c r="H30" s="1174"/>
      <c r="I30" s="1174"/>
      <c r="J30" s="1174"/>
      <c r="K30" s="1174"/>
      <c r="L30" s="1174"/>
      <c r="M30" s="1174"/>
      <c r="N30" s="1174"/>
      <c r="O30" s="1174"/>
      <c r="P30" s="1189"/>
      <c r="Q30" s="6"/>
      <c r="R30" s="1538"/>
      <c r="S30" s="1538"/>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3">
      <c r="A31" s="15"/>
      <c r="B31" s="1023"/>
      <c r="C31" s="1023"/>
      <c r="D31" s="1023"/>
      <c r="E31" s="1023"/>
      <c r="F31" s="1023"/>
      <c r="G31" s="1023"/>
      <c r="H31" s="1023"/>
      <c r="I31" s="1023"/>
      <c r="J31" s="1023"/>
      <c r="K31" s="1023"/>
      <c r="L31" s="1023"/>
      <c r="M31" s="1023"/>
      <c r="N31" s="1023"/>
      <c r="O31" s="1023"/>
      <c r="P31" s="1542">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3">
      <c r="B32" s="1536"/>
      <c r="C32" s="1536"/>
      <c r="D32" s="1536"/>
      <c r="E32" s="1536"/>
      <c r="F32" s="1536"/>
      <c r="G32" s="1536"/>
      <c r="H32" s="1536"/>
      <c r="I32" s="1536"/>
      <c r="J32" s="1536"/>
      <c r="K32" s="1536"/>
      <c r="L32" s="1536"/>
      <c r="M32" s="1536"/>
      <c r="N32" s="1536"/>
      <c r="O32" s="1536"/>
      <c r="P32" s="1542"/>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3">
      <c r="B33" s="1541"/>
      <c r="C33" s="1541"/>
      <c r="D33" s="1541"/>
      <c r="E33" s="1541"/>
      <c r="F33" s="1541"/>
      <c r="G33" s="1541"/>
      <c r="H33" s="1541"/>
      <c r="I33" s="1541"/>
      <c r="J33" s="1541"/>
      <c r="K33" s="1541"/>
      <c r="L33" s="1541"/>
      <c r="M33" s="1541"/>
      <c r="N33" s="1541"/>
      <c r="O33" s="1541"/>
      <c r="P33" s="165"/>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5" x14ac:dyDescent="0.3">
      <c r="B34" s="1541"/>
      <c r="C34" s="1541"/>
      <c r="D34" s="1541"/>
      <c r="E34" s="1541"/>
      <c r="F34" s="1541"/>
      <c r="G34" s="1541"/>
      <c r="H34" s="1541"/>
      <c r="I34" s="1541"/>
      <c r="J34" s="1541"/>
      <c r="K34" s="1541"/>
      <c r="L34" s="1541"/>
      <c r="M34" s="1541"/>
      <c r="N34" s="1541"/>
      <c r="O34" s="1541"/>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3">
      <c r="B35" s="947" t="s">
        <v>1907</v>
      </c>
      <c r="C35" s="878"/>
      <c r="D35" s="878"/>
      <c r="E35" s="878"/>
      <c r="F35" s="878"/>
      <c r="G35" s="878"/>
      <c r="H35" s="878"/>
      <c r="I35" s="878"/>
      <c r="J35" s="878"/>
      <c r="K35" s="878"/>
      <c r="L35" s="878"/>
      <c r="M35" s="878"/>
      <c r="N35" s="878"/>
      <c r="O35" s="878"/>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3">
      <c r="B36" s="1539" t="s">
        <v>813</v>
      </c>
      <c r="C36" s="1539"/>
      <c r="D36" s="1539"/>
      <c r="E36" s="1539"/>
      <c r="F36" s="1539"/>
      <c r="G36" s="1539"/>
      <c r="H36" s="1539"/>
      <c r="I36" s="1539"/>
      <c r="J36" s="1539"/>
      <c r="K36" s="1539"/>
      <c r="L36" s="1539"/>
      <c r="M36" s="1539"/>
      <c r="N36" s="1539"/>
      <c r="O36" s="1539"/>
      <c r="P36" s="845"/>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3">
      <c r="B37" s="1174" t="s">
        <v>1871</v>
      </c>
      <c r="C37" s="1174"/>
      <c r="D37" s="1174"/>
      <c r="E37" s="1174"/>
      <c r="F37" s="1174"/>
      <c r="G37" s="1174"/>
      <c r="H37" s="1174"/>
      <c r="I37" s="1174"/>
      <c r="J37" s="1174"/>
      <c r="K37" s="1174"/>
      <c r="L37" s="1174"/>
      <c r="M37" s="1174"/>
      <c r="N37" s="1174"/>
      <c r="O37" s="1174"/>
      <c r="P37" s="846"/>
      <c r="Q37" s="6"/>
      <c r="R37" s="6"/>
      <c r="S37" s="947" t="s">
        <v>2274</v>
      </c>
      <c r="T37" s="947"/>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3">
      <c r="B38" s="927" t="s">
        <v>66</v>
      </c>
      <c r="C38" s="927" t="s">
        <v>67</v>
      </c>
      <c r="D38" s="927"/>
      <c r="E38" s="927"/>
      <c r="F38" s="927" t="s">
        <v>68</v>
      </c>
      <c r="G38" s="925"/>
      <c r="H38" s="925"/>
      <c r="I38" s="927" t="s">
        <v>1596</v>
      </c>
      <c r="J38" s="927"/>
      <c r="K38" s="927"/>
      <c r="L38" s="927" t="s">
        <v>68</v>
      </c>
      <c r="M38" s="1279"/>
      <c r="N38" s="925"/>
      <c r="O38" s="927" t="s">
        <v>69</v>
      </c>
      <c r="P38" s="846"/>
      <c r="Q38" s="6"/>
      <c r="R38" s="6"/>
      <c r="S38" s="947"/>
      <c r="T38" s="94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3">
      <c r="B39" s="927"/>
      <c r="C39" s="927"/>
      <c r="D39" s="927"/>
      <c r="E39" s="927"/>
      <c r="F39" s="925"/>
      <c r="G39" s="925"/>
      <c r="H39" s="925"/>
      <c r="I39" s="927"/>
      <c r="J39" s="927"/>
      <c r="K39" s="927"/>
      <c r="L39" s="1279"/>
      <c r="M39" s="1279"/>
      <c r="N39" s="925"/>
      <c r="O39" s="925"/>
      <c r="P39" s="846"/>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3">
      <c r="B40" s="417" t="s">
        <v>1382</v>
      </c>
      <c r="C40" s="925"/>
      <c r="D40" s="925"/>
      <c r="E40" s="146"/>
      <c r="F40" s="1028"/>
      <c r="G40" s="1028"/>
      <c r="H40" s="370"/>
      <c r="I40" s="925"/>
      <c r="J40" s="925"/>
      <c r="K40" s="146"/>
      <c r="L40" s="1028"/>
      <c r="M40" s="1028"/>
      <c r="N40" s="370"/>
      <c r="O40" s="146"/>
      <c r="P40" s="846"/>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3">
      <c r="B41" s="418" t="s">
        <v>1381</v>
      </c>
      <c r="C41" s="992">
        <v>0.1</v>
      </c>
      <c r="D41" s="992"/>
      <c r="E41" s="202" t="s">
        <v>1790</v>
      </c>
      <c r="F41" s="992">
        <f>SUMIF($T$39:$AH$39,F40,$T$40:$AH$40)</f>
        <v>0</v>
      </c>
      <c r="G41" s="992"/>
      <c r="H41" s="225" t="s">
        <v>1791</v>
      </c>
      <c r="I41" s="992">
        <v>0.1</v>
      </c>
      <c r="J41" s="992"/>
      <c r="K41" s="202" t="s">
        <v>1790</v>
      </c>
      <c r="L41" s="992">
        <f>SUMIF($T$39:$AH$39,L40,$T$40:$AH$40)</f>
        <v>0</v>
      </c>
      <c r="M41" s="992"/>
      <c r="N41" s="225" t="s">
        <v>1792</v>
      </c>
      <c r="O41" s="244">
        <f>IF(C41*F41-I41*L41&lt;0,0,C41*F41-I41*L41)</f>
        <v>0</v>
      </c>
      <c r="P41" s="846"/>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3">
      <c r="B42" s="426" t="s">
        <v>555</v>
      </c>
      <c r="C42" s="925"/>
      <c r="D42" s="925"/>
      <c r="E42" s="146"/>
      <c r="F42" s="1028"/>
      <c r="G42" s="1028"/>
      <c r="H42" s="370"/>
      <c r="I42" s="925"/>
      <c r="J42" s="925"/>
      <c r="K42" s="146"/>
      <c r="L42" s="1028"/>
      <c r="M42" s="1028"/>
      <c r="N42" s="370"/>
      <c r="O42" s="146"/>
      <c r="P42" s="1135"/>
      <c r="Q42" s="6"/>
      <c r="R42" s="6"/>
      <c r="S42" s="1142" t="s">
        <v>1040</v>
      </c>
      <c r="T42" s="1142" t="s">
        <v>1041</v>
      </c>
      <c r="U42" s="1142" t="s">
        <v>1042</v>
      </c>
      <c r="V42" s="1142"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3">
      <c r="B43" s="423" t="s">
        <v>1044</v>
      </c>
      <c r="C43" s="936">
        <v>0.03</v>
      </c>
      <c r="D43" s="936"/>
      <c r="E43" s="18" t="s">
        <v>1790</v>
      </c>
      <c r="F43" s="936">
        <f>SUMIF($T$39:$AH$39,F42,$T$40:$AH$40)</f>
        <v>0</v>
      </c>
      <c r="G43" s="936"/>
      <c r="H43" s="160" t="s">
        <v>1791</v>
      </c>
      <c r="I43" s="936">
        <v>0.03</v>
      </c>
      <c r="J43" s="936"/>
      <c r="K43" s="18" t="s">
        <v>1790</v>
      </c>
      <c r="L43" s="936">
        <f>SUMIF($T$39:$AH$39,L42,$T$40:$AH$40)</f>
        <v>0</v>
      </c>
      <c r="M43" s="936"/>
      <c r="N43" s="160" t="s">
        <v>1792</v>
      </c>
      <c r="O43" s="243">
        <f>IF(C43*F43-I43*L43&lt;0,0,C43*F43-I43*L43)</f>
        <v>0</v>
      </c>
      <c r="P43" s="1135"/>
      <c r="Q43" s="6"/>
      <c r="R43" s="33"/>
      <c r="S43" s="959"/>
      <c r="T43" s="1142"/>
      <c r="U43" s="1142"/>
      <c r="V43" s="1142"/>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3">
      <c r="B44" s="421" t="s">
        <v>1383</v>
      </c>
      <c r="C44" s="847"/>
      <c r="D44" s="847"/>
      <c r="E44" s="233"/>
      <c r="F44" s="1535"/>
      <c r="G44" s="1535"/>
      <c r="H44" s="419"/>
      <c r="I44" s="847"/>
      <c r="J44" s="847"/>
      <c r="K44" s="233"/>
      <c r="L44" s="1535"/>
      <c r="M44" s="1535"/>
      <c r="N44" s="419"/>
      <c r="O44" s="233"/>
      <c r="P44" s="846"/>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3">
      <c r="B45" s="420" t="s">
        <v>1001</v>
      </c>
      <c r="C45" s="936">
        <v>0.21</v>
      </c>
      <c r="D45" s="936"/>
      <c r="E45" s="18" t="s">
        <v>1790</v>
      </c>
      <c r="F45" s="936">
        <f>SUMIF($T$39:$AH$39,F44,$T$40:$AH$40)</f>
        <v>0</v>
      </c>
      <c r="G45" s="936"/>
      <c r="H45" s="160" t="s">
        <v>1791</v>
      </c>
      <c r="I45" s="936">
        <v>0.21</v>
      </c>
      <c r="J45" s="936"/>
      <c r="K45" s="18" t="s">
        <v>1790</v>
      </c>
      <c r="L45" s="936">
        <f>SUMIF($T$39:$AH$39,L44,$T$40:$AH$40)</f>
        <v>0</v>
      </c>
      <c r="M45" s="936"/>
      <c r="N45" s="160" t="s">
        <v>1792</v>
      </c>
      <c r="O45" s="242" t="str">
        <f>IF(F44="","",IF(C45*F45-I45*L45&lt;=0,"",C45*F45-I45*L45))</f>
        <v/>
      </c>
      <c r="P45" s="846"/>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3">
      <c r="B46" s="1343" t="s">
        <v>1002</v>
      </c>
      <c r="C46" s="847"/>
      <c r="D46" s="847"/>
      <c r="E46" s="233"/>
      <c r="F46" s="1535"/>
      <c r="G46" s="1535"/>
      <c r="H46" s="419"/>
      <c r="I46" s="847"/>
      <c r="J46" s="847"/>
      <c r="K46" s="233"/>
      <c r="L46" s="1535"/>
      <c r="M46" s="1535"/>
      <c r="N46" s="370"/>
      <c r="O46" s="50"/>
      <c r="P46" s="846"/>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3">
      <c r="B47" s="1344"/>
      <c r="C47" s="936">
        <v>0.21</v>
      </c>
      <c r="D47" s="936"/>
      <c r="E47" s="18" t="s">
        <v>1790</v>
      </c>
      <c r="F47" s="936">
        <f>SUMIF($T$39:$AH$39,F46,$T$40:$AH$40)</f>
        <v>0</v>
      </c>
      <c r="G47" s="936"/>
      <c r="H47" s="160" t="s">
        <v>1791</v>
      </c>
      <c r="I47" s="936">
        <v>0.21</v>
      </c>
      <c r="J47" s="936"/>
      <c r="K47" s="18" t="s">
        <v>1790</v>
      </c>
      <c r="L47" s="936">
        <f>SUMIF($T$39:$AH$39,L46,$T$40:$AH$40)</f>
        <v>0</v>
      </c>
      <c r="M47" s="936"/>
      <c r="N47" s="160" t="s">
        <v>1792</v>
      </c>
      <c r="O47" s="243" t="str">
        <f>IF(F46="","",IF(C47*F47-I47*L47&lt;=0,"",C47*F47-I47*L47))</f>
        <v/>
      </c>
      <c r="P47" s="846"/>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3">
      <c r="B48" s="1343" t="s">
        <v>1003</v>
      </c>
      <c r="C48" s="847"/>
      <c r="D48" s="847"/>
      <c r="E48" s="233"/>
      <c r="F48" s="1535"/>
      <c r="G48" s="1535"/>
      <c r="H48" s="419"/>
      <c r="I48" s="847"/>
      <c r="J48" s="847"/>
      <c r="K48" s="233"/>
      <c r="L48" s="1535"/>
      <c r="M48" s="1535"/>
      <c r="N48" s="370"/>
      <c r="O48" s="146"/>
      <c r="P48" s="846"/>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3">
      <c r="B49" s="1344"/>
      <c r="C49" s="936">
        <v>0.21</v>
      </c>
      <c r="D49" s="936"/>
      <c r="E49" s="18" t="s">
        <v>1790</v>
      </c>
      <c r="F49" s="936">
        <f>SUMIF($T$39:$AH$39,F48,$T$40:$AH$40)</f>
        <v>0</v>
      </c>
      <c r="G49" s="936"/>
      <c r="H49" s="160" t="s">
        <v>1791</v>
      </c>
      <c r="I49" s="936">
        <v>0.21</v>
      </c>
      <c r="J49" s="936"/>
      <c r="K49" s="18" t="s">
        <v>1790</v>
      </c>
      <c r="L49" s="936">
        <f>SUMIF($T$39:$AH$39,L48,$T$40:$AH$40)</f>
        <v>0</v>
      </c>
      <c r="M49" s="936"/>
      <c r="N49" s="160" t="s">
        <v>1792</v>
      </c>
      <c r="O49" s="243" t="str">
        <f>IF(F48="","",IF(C49*F49-I49*L49&lt;=0,"",C49*F49-I49*L49))</f>
        <v/>
      </c>
      <c r="P49" s="846"/>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3">
      <c r="B50" s="1343" t="s">
        <v>1810</v>
      </c>
      <c r="C50" s="847"/>
      <c r="D50" s="847"/>
      <c r="E50" s="233"/>
      <c r="F50" s="1535"/>
      <c r="G50" s="1535"/>
      <c r="H50" s="419"/>
      <c r="I50" s="847"/>
      <c r="J50" s="847"/>
      <c r="K50" s="233"/>
      <c r="L50" s="1535"/>
      <c r="M50" s="1535"/>
      <c r="N50" s="370"/>
      <c r="O50" s="146"/>
      <c r="P50" s="846"/>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3">
      <c r="B51" s="1344"/>
      <c r="C51" s="936">
        <v>0.21</v>
      </c>
      <c r="D51" s="936"/>
      <c r="E51" s="18" t="s">
        <v>1790</v>
      </c>
      <c r="F51" s="936">
        <f>SUMIF($T$39:$AH$39,F50,$T$40:$AH$40)</f>
        <v>0</v>
      </c>
      <c r="G51" s="936"/>
      <c r="H51" s="160" t="s">
        <v>1791</v>
      </c>
      <c r="I51" s="936">
        <v>0.21</v>
      </c>
      <c r="J51" s="936"/>
      <c r="K51" s="18" t="s">
        <v>1790</v>
      </c>
      <c r="L51" s="936">
        <f>SUMIF($T$39:$AH$39,L50,$T$40:$AH$40)</f>
        <v>0</v>
      </c>
      <c r="M51" s="936"/>
      <c r="N51" s="160" t="s">
        <v>1792</v>
      </c>
      <c r="O51" s="243" t="str">
        <f>IF(F50="","",IF(C51*F51-I51*L51&lt;=0,"",C51*F51-I51*L51))</f>
        <v/>
      </c>
      <c r="P51" s="846"/>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3">
      <c r="B52" s="1343" t="s">
        <v>1811</v>
      </c>
      <c r="C52" s="847"/>
      <c r="D52" s="847"/>
      <c r="E52" s="233"/>
      <c r="F52" s="1535"/>
      <c r="G52" s="1535"/>
      <c r="H52" s="419"/>
      <c r="I52" s="847"/>
      <c r="J52" s="847"/>
      <c r="K52" s="233"/>
      <c r="L52" s="1535"/>
      <c r="M52" s="1535"/>
      <c r="N52" s="370"/>
      <c r="O52" s="146"/>
      <c r="P52" s="846"/>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3">
      <c r="B53" s="1344"/>
      <c r="C53" s="936">
        <v>0.21</v>
      </c>
      <c r="D53" s="936"/>
      <c r="E53" s="18" t="s">
        <v>1790</v>
      </c>
      <c r="F53" s="936">
        <f>SUMIF($T$39:$AH$39,F52,$T$40:$AH$40)</f>
        <v>0</v>
      </c>
      <c r="G53" s="936"/>
      <c r="H53" s="160" t="s">
        <v>1791</v>
      </c>
      <c r="I53" s="936">
        <v>0.21</v>
      </c>
      <c r="J53" s="936"/>
      <c r="K53" s="18" t="s">
        <v>1790</v>
      </c>
      <c r="L53" s="936">
        <f>SUMIF($T$39:$AH$39,L52,$T$40:$AH$40)</f>
        <v>0</v>
      </c>
      <c r="M53" s="936"/>
      <c r="N53" s="160" t="s">
        <v>1792</v>
      </c>
      <c r="O53" s="243" t="str">
        <f>IF(F52="","",IF(C53*F53-I53*L53&lt;=0,"",C53*F53-I53*L53))</f>
        <v/>
      </c>
      <c r="P53" s="846"/>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3">
      <c r="B54" s="270" t="s">
        <v>1384</v>
      </c>
      <c r="C54" s="1548" t="str">
        <f>IF(AND(O45&lt;&gt;"",S44=1),"ERROR: Record strength for 'Overall' or specific muscles, not both.","")</f>
        <v/>
      </c>
      <c r="D54" s="1548"/>
      <c r="E54" s="1548"/>
      <c r="F54" s="1548"/>
      <c r="G54" s="1548"/>
      <c r="H54" s="1548"/>
      <c r="I54" s="1548"/>
      <c r="J54" s="1548"/>
      <c r="K54" s="1548"/>
      <c r="L54" s="1548"/>
      <c r="M54" s="1548"/>
      <c r="N54" s="160" t="s">
        <v>1792</v>
      </c>
      <c r="O54" s="242">
        <f>IF(C54&lt;&gt;"","ERROR",IF(AND(O45="",O47="",O49="",O51="",O53=""),0,AVERAGE(O45,O47,O49,O51,O53)))</f>
        <v>0</v>
      </c>
      <c r="P54" s="846"/>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3">
      <c r="B55" s="421" t="s">
        <v>1380</v>
      </c>
      <c r="C55" s="847"/>
      <c r="D55" s="847"/>
      <c r="E55" s="233"/>
      <c r="F55" s="1535"/>
      <c r="G55" s="1535"/>
      <c r="H55" s="419"/>
      <c r="I55" s="847"/>
      <c r="J55" s="847"/>
      <c r="K55" s="233"/>
      <c r="L55" s="1535"/>
      <c r="M55" s="1535"/>
      <c r="N55" s="419"/>
      <c r="O55" s="233"/>
      <c r="P55" s="846"/>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3">
      <c r="B56" s="420" t="s">
        <v>1001</v>
      </c>
      <c r="C56" s="936">
        <v>0.03</v>
      </c>
      <c r="D56" s="936"/>
      <c r="E56" s="18" t="s">
        <v>1790</v>
      </c>
      <c r="F56" s="936">
        <f>SUMIF($T$39:$AH$39,F55,$T$40:$AH$40)</f>
        <v>0</v>
      </c>
      <c r="G56" s="936"/>
      <c r="H56" s="160" t="s">
        <v>1791</v>
      </c>
      <c r="I56" s="936">
        <v>0.03</v>
      </c>
      <c r="J56" s="936"/>
      <c r="K56" s="18" t="s">
        <v>1790</v>
      </c>
      <c r="L56" s="936">
        <f>SUMIF($T$39:$AH$39,L55,$T$40:$AH$40)</f>
        <v>0</v>
      </c>
      <c r="M56" s="936"/>
      <c r="N56" s="160" t="s">
        <v>1792</v>
      </c>
      <c r="O56" s="242" t="str">
        <f>IF(F55="","",IF(C56*F56-I56*L56&lt;=0,"",C56*F56-I56*L56))</f>
        <v/>
      </c>
      <c r="P56" s="846"/>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3">
      <c r="B57" s="1343" t="s">
        <v>634</v>
      </c>
      <c r="C57" s="847"/>
      <c r="D57" s="847"/>
      <c r="E57" s="233"/>
      <c r="F57" s="1535"/>
      <c r="G57" s="1535"/>
      <c r="H57" s="419"/>
      <c r="I57" s="847"/>
      <c r="J57" s="847"/>
      <c r="K57" s="233"/>
      <c r="L57" s="1535"/>
      <c r="M57" s="1535"/>
      <c r="N57" s="370"/>
      <c r="O57" s="13"/>
      <c r="P57" s="846"/>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3">
      <c r="B58" s="1344"/>
      <c r="C58" s="936">
        <v>0.03</v>
      </c>
      <c r="D58" s="936"/>
      <c r="E58" s="18" t="s">
        <v>1790</v>
      </c>
      <c r="F58" s="936">
        <f>SUMIF($T$39:$AH$39,F57,$T$40:$AH$40)</f>
        <v>0</v>
      </c>
      <c r="G58" s="936"/>
      <c r="H58" s="160" t="s">
        <v>1791</v>
      </c>
      <c r="I58" s="936">
        <v>0.03</v>
      </c>
      <c r="J58" s="936"/>
      <c r="K58" s="18" t="s">
        <v>1790</v>
      </c>
      <c r="L58" s="936">
        <f>SUMIF($T$39:$AH$39,L57,$T$40:$AH$40)</f>
        <v>0</v>
      </c>
      <c r="M58" s="936"/>
      <c r="N58" s="160" t="s">
        <v>1792</v>
      </c>
      <c r="O58" s="242" t="str">
        <f>IF(F57="","",IF(C58*F58-I58*L58&lt;=0,"",C58*F58-I58*L58))</f>
        <v/>
      </c>
      <c r="P58" s="846"/>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3">
      <c r="B59" s="1343" t="s">
        <v>635</v>
      </c>
      <c r="C59" s="847"/>
      <c r="D59" s="847"/>
      <c r="E59" s="233"/>
      <c r="F59" s="1535"/>
      <c r="G59" s="1535"/>
      <c r="H59" s="419"/>
      <c r="I59" s="847"/>
      <c r="J59" s="847"/>
      <c r="K59" s="233"/>
      <c r="L59" s="1535"/>
      <c r="M59" s="1535"/>
      <c r="N59" s="370"/>
      <c r="O59" s="13"/>
      <c r="P59" s="846"/>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3">
      <c r="B60" s="1344"/>
      <c r="C60" s="936">
        <v>0.03</v>
      </c>
      <c r="D60" s="936"/>
      <c r="E60" s="18" t="s">
        <v>1790</v>
      </c>
      <c r="F60" s="936">
        <f>SUMIF($T$39:$AH$39,F57,$T$40:$AH$40)</f>
        <v>0</v>
      </c>
      <c r="G60" s="936"/>
      <c r="H60" s="160" t="s">
        <v>1791</v>
      </c>
      <c r="I60" s="936">
        <v>0.03</v>
      </c>
      <c r="J60" s="936"/>
      <c r="K60" s="18" t="s">
        <v>1790</v>
      </c>
      <c r="L60" s="936">
        <f>SUMIF($T$39:$AH$39,L59,$T$40:$AH$40)</f>
        <v>0</v>
      </c>
      <c r="M60" s="936"/>
      <c r="N60" s="160" t="s">
        <v>1792</v>
      </c>
      <c r="O60" s="242" t="str">
        <f>IF(F59="","",IF(C60*F60-I60*L60&lt;=0,"",C60*F60-I60*L60))</f>
        <v/>
      </c>
      <c r="P60" s="846"/>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3">
      <c r="B61" s="1343" t="s">
        <v>636</v>
      </c>
      <c r="C61" s="847"/>
      <c r="D61" s="847"/>
      <c r="E61" s="233"/>
      <c r="F61" s="1535"/>
      <c r="G61" s="1535"/>
      <c r="H61" s="419"/>
      <c r="I61" s="847"/>
      <c r="J61" s="847"/>
      <c r="K61" s="233"/>
      <c r="L61" s="1535"/>
      <c r="M61" s="1535"/>
      <c r="N61" s="370"/>
      <c r="O61" s="13"/>
      <c r="P61" s="846"/>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3">
      <c r="B62" s="1344"/>
      <c r="C62" s="936">
        <v>0.03</v>
      </c>
      <c r="D62" s="936"/>
      <c r="E62" s="18" t="s">
        <v>1790</v>
      </c>
      <c r="F62" s="936">
        <f>SUMIF($T$39:$AH$39,F61,$T$40:$AH$40)</f>
        <v>0</v>
      </c>
      <c r="G62" s="936"/>
      <c r="H62" s="160" t="s">
        <v>1791</v>
      </c>
      <c r="I62" s="936">
        <v>0.03</v>
      </c>
      <c r="J62" s="936"/>
      <c r="K62" s="18" t="s">
        <v>1790</v>
      </c>
      <c r="L62" s="936">
        <f>SUMIF($T$39:$AH$39,L61,$T$40:$AH$40)</f>
        <v>0</v>
      </c>
      <c r="M62" s="936"/>
      <c r="N62" s="160" t="s">
        <v>1792</v>
      </c>
      <c r="O62" s="242" t="str">
        <f>IF(F61="","",IF(C62*F62-I62*L62&lt;=0,"",C62*F62-I62*L62))</f>
        <v/>
      </c>
      <c r="P62" s="846"/>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3">
      <c r="B63" s="270" t="s">
        <v>1555</v>
      </c>
      <c r="C63" s="1548" t="str">
        <f>IF(AND(O56&lt;&gt;"",T44=1),"ERROR: Record strength for 'Overall' or specific muscles, not both.","")</f>
        <v/>
      </c>
      <c r="D63" s="1548"/>
      <c r="E63" s="1548"/>
      <c r="F63" s="1548"/>
      <c r="G63" s="1548"/>
      <c r="H63" s="1548"/>
      <c r="I63" s="1548"/>
      <c r="J63" s="1548"/>
      <c r="K63" s="1548"/>
      <c r="L63" s="1548"/>
      <c r="M63" s="1548"/>
      <c r="N63" s="160" t="s">
        <v>1792</v>
      </c>
      <c r="O63" s="242">
        <f>IF(C63&lt;&gt;"","ERROR",IF(AND(O56="",O58="",O60="",O62=""),0,AVERAGE(O56,O58,O60,O62)))</f>
        <v>0</v>
      </c>
      <c r="P63" s="846"/>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3">
      <c r="B64" s="422" t="s">
        <v>556</v>
      </c>
      <c r="C64" s="847"/>
      <c r="D64" s="847"/>
      <c r="E64" s="233"/>
      <c r="F64" s="1535"/>
      <c r="G64" s="1535"/>
      <c r="H64" s="419"/>
      <c r="I64" s="847"/>
      <c r="J64" s="847"/>
      <c r="K64" s="233"/>
      <c r="L64" s="1535"/>
      <c r="M64" s="1535"/>
      <c r="N64" s="419"/>
      <c r="O64" s="233"/>
      <c r="P64" s="846"/>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3">
      <c r="B65" s="423" t="s">
        <v>637</v>
      </c>
      <c r="C65" s="936">
        <v>0.09</v>
      </c>
      <c r="D65" s="936"/>
      <c r="E65" s="18" t="s">
        <v>1790</v>
      </c>
      <c r="F65" s="936">
        <f>SUMIF($T$39:$AH$39,F64,$T$40:$AH$40)</f>
        <v>0</v>
      </c>
      <c r="G65" s="936"/>
      <c r="H65" s="160" t="s">
        <v>1791</v>
      </c>
      <c r="I65" s="936">
        <v>0.09</v>
      </c>
      <c r="J65" s="936"/>
      <c r="K65" s="18" t="s">
        <v>1790</v>
      </c>
      <c r="L65" s="936">
        <f>SUMIF($T$39:$AH$39,L64,$T$40:$AH$40)</f>
        <v>0</v>
      </c>
      <c r="M65" s="936"/>
      <c r="N65" s="160" t="s">
        <v>1792</v>
      </c>
      <c r="O65" s="242">
        <f>IF(C65*F65-I65*L65&lt;0,0,C65*F65-I65*L65)</f>
        <v>0</v>
      </c>
      <c r="P65" s="846"/>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3">
      <c r="B66" s="421" t="s">
        <v>1378</v>
      </c>
      <c r="C66" s="847"/>
      <c r="D66" s="847"/>
      <c r="E66" s="233"/>
      <c r="F66" s="1535"/>
      <c r="G66" s="1535"/>
      <c r="H66" s="419"/>
      <c r="I66" s="847"/>
      <c r="J66" s="847"/>
      <c r="K66" s="233"/>
      <c r="L66" s="1535"/>
      <c r="M66" s="1535"/>
      <c r="N66" s="419"/>
      <c r="O66" s="85"/>
      <c r="P66" s="846"/>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3">
      <c r="B67" s="420" t="s">
        <v>1379</v>
      </c>
      <c r="C67" s="936">
        <v>0.03</v>
      </c>
      <c r="D67" s="936"/>
      <c r="E67" s="18" t="s">
        <v>1790</v>
      </c>
      <c r="F67" s="936">
        <f>SUMIF($T$39:$AH$39,F66,$T$40:$AH$40)</f>
        <v>0</v>
      </c>
      <c r="G67" s="936"/>
      <c r="H67" s="160" t="s">
        <v>1791</v>
      </c>
      <c r="I67" s="936">
        <v>0.03</v>
      </c>
      <c r="J67" s="936"/>
      <c r="K67" s="18" t="s">
        <v>1790</v>
      </c>
      <c r="L67" s="936">
        <f>SUMIF($T$39:$AH$39,L66,$T$40:$AH$40)</f>
        <v>0</v>
      </c>
      <c r="M67" s="936"/>
      <c r="N67" s="160" t="s">
        <v>1792</v>
      </c>
      <c r="O67" s="242" t="str">
        <f>IF(F66="","",IF(C67*F67-I67*L67&lt;=0,"",C67*F67-I67*L67))</f>
        <v/>
      </c>
      <c r="P67" s="846"/>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3">
      <c r="B68" s="1343" t="s">
        <v>638</v>
      </c>
      <c r="C68" s="847"/>
      <c r="D68" s="847"/>
      <c r="E68" s="233"/>
      <c r="F68" s="1535"/>
      <c r="G68" s="1535"/>
      <c r="H68" s="419"/>
      <c r="I68" s="847"/>
      <c r="J68" s="847"/>
      <c r="K68" s="233"/>
      <c r="L68" s="1535"/>
      <c r="M68" s="1535"/>
      <c r="N68" s="370"/>
      <c r="O68" s="13"/>
      <c r="P68" s="846"/>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3">
      <c r="B69" s="1344"/>
      <c r="C69" s="936">
        <v>0.03</v>
      </c>
      <c r="D69" s="936"/>
      <c r="E69" s="18" t="s">
        <v>1790</v>
      </c>
      <c r="F69" s="936">
        <f>SUMIF($T$39:$AH$39,F68,$T$40:$AH$40)</f>
        <v>0</v>
      </c>
      <c r="G69" s="936"/>
      <c r="H69" s="160" t="s">
        <v>1791</v>
      </c>
      <c r="I69" s="936">
        <v>0.03</v>
      </c>
      <c r="J69" s="936"/>
      <c r="K69" s="18" t="s">
        <v>1790</v>
      </c>
      <c r="L69" s="936">
        <f>SUMIF($T$39:$AH$39,L68,$T$40:$AH$40)</f>
        <v>0</v>
      </c>
      <c r="M69" s="936"/>
      <c r="N69" s="160" t="s">
        <v>1792</v>
      </c>
      <c r="O69" s="242" t="str">
        <f>IF(F68="","",IF(C69*F69-I69*L69&lt;=0,"",C69*F69-I69*L69))</f>
        <v/>
      </c>
      <c r="P69" s="846"/>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3">
      <c r="B70" s="1343" t="s">
        <v>639</v>
      </c>
      <c r="C70" s="847"/>
      <c r="D70" s="847"/>
      <c r="E70" s="233"/>
      <c r="F70" s="1535"/>
      <c r="G70" s="1535"/>
      <c r="H70" s="419"/>
      <c r="I70" s="847"/>
      <c r="J70" s="847"/>
      <c r="K70" s="233"/>
      <c r="L70" s="1535"/>
      <c r="M70" s="1535"/>
      <c r="N70" s="370"/>
      <c r="O70" s="13"/>
      <c r="P70" s="846"/>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3">
      <c r="B71" s="1344"/>
      <c r="C71" s="936">
        <v>0.03</v>
      </c>
      <c r="D71" s="936"/>
      <c r="E71" s="18" t="s">
        <v>1790</v>
      </c>
      <c r="F71" s="936">
        <f>SUMIF($T$39:$AH$39,F70,$T$40:$AH$40)</f>
        <v>0</v>
      </c>
      <c r="G71" s="936"/>
      <c r="H71" s="160" t="s">
        <v>1791</v>
      </c>
      <c r="I71" s="936">
        <v>0.03</v>
      </c>
      <c r="J71" s="936"/>
      <c r="K71" s="18" t="s">
        <v>1790</v>
      </c>
      <c r="L71" s="936">
        <f>SUMIF($T$39:$AH$39,L70,$T$40:$AH$40)</f>
        <v>0</v>
      </c>
      <c r="M71" s="936"/>
      <c r="N71" s="160" t="s">
        <v>1792</v>
      </c>
      <c r="O71" s="242" t="str">
        <f>IF(F70="","",IF(C71*F71-I71*L71&lt;=0,"",C71*F71-I71*L71))</f>
        <v/>
      </c>
      <c r="P71" s="846"/>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3">
      <c r="B72" s="270" t="s">
        <v>1387</v>
      </c>
      <c r="C72" s="1552" t="str">
        <f>IF(AND(O67&lt;&gt;"",U44=1),"ERROR: Record strength for 'Overall' or specific muscles, not both.","")</f>
        <v/>
      </c>
      <c r="D72" s="1552"/>
      <c r="E72" s="1552"/>
      <c r="F72" s="1552"/>
      <c r="G72" s="1552"/>
      <c r="H72" s="1552"/>
      <c r="I72" s="1552"/>
      <c r="J72" s="1552"/>
      <c r="K72" s="1552"/>
      <c r="L72" s="1552"/>
      <c r="M72" s="1552"/>
      <c r="N72" s="282" t="s">
        <v>1792</v>
      </c>
      <c r="O72" s="283">
        <f>IF(C72&lt;&gt;"","ERROR",IF(AND(O67="",O69="",O71=""),0,AVERAGE(O67,O69,O71)))</f>
        <v>0</v>
      </c>
      <c r="P72" s="847"/>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3">
      <c r="B73" s="1355"/>
      <c r="C73" s="1554"/>
      <c r="D73" s="1554"/>
      <c r="E73" s="1554"/>
      <c r="F73" s="1554"/>
      <c r="G73" s="1554"/>
      <c r="H73" s="1554"/>
      <c r="I73" s="1554"/>
      <c r="J73" s="1554"/>
      <c r="K73" s="1554"/>
      <c r="L73" s="1554"/>
      <c r="M73" s="1554"/>
      <c r="N73" s="1554"/>
      <c r="O73" s="1554"/>
      <c r="P73" s="1354"/>
      <c r="Q73" s="6"/>
      <c r="R73" s="109"/>
      <c r="S73" s="33"/>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3">
      <c r="B74" s="1357"/>
      <c r="C74" s="1357"/>
      <c r="D74" s="1357"/>
      <c r="E74" s="1357"/>
      <c r="F74" s="1357"/>
      <c r="G74" s="1357"/>
      <c r="H74" s="1357"/>
      <c r="I74" s="1357"/>
      <c r="J74" s="1357"/>
      <c r="K74" s="1357"/>
      <c r="L74" s="1357"/>
      <c r="M74" s="1357"/>
      <c r="N74" s="1357"/>
      <c r="O74" s="1357"/>
      <c r="P74" s="1357"/>
      <c r="Q74" s="6"/>
      <c r="R74" s="109"/>
      <c r="S74" s="33"/>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3">
      <c r="B75" s="417" t="s">
        <v>1385</v>
      </c>
      <c r="C75" s="847"/>
      <c r="D75" s="847"/>
      <c r="E75" s="233"/>
      <c r="F75" s="1535"/>
      <c r="G75" s="1535"/>
      <c r="H75" s="419"/>
      <c r="I75" s="847"/>
      <c r="J75" s="847"/>
      <c r="K75" s="233"/>
      <c r="L75" s="1535"/>
      <c r="M75" s="1535"/>
      <c r="N75" s="419"/>
      <c r="O75" s="85"/>
      <c r="P75" s="846"/>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3">
      <c r="B76" s="420" t="s">
        <v>1001</v>
      </c>
      <c r="C76" s="936">
        <v>0.09</v>
      </c>
      <c r="D76" s="936"/>
      <c r="E76" s="18" t="s">
        <v>1790</v>
      </c>
      <c r="F76" s="936">
        <f>SUMIF($T$39:$AH$39,F75,$T$40:$AH$40)</f>
        <v>0</v>
      </c>
      <c r="G76" s="936"/>
      <c r="H76" s="160" t="s">
        <v>1791</v>
      </c>
      <c r="I76" s="936">
        <v>0.09</v>
      </c>
      <c r="J76" s="936"/>
      <c r="K76" s="18" t="s">
        <v>1790</v>
      </c>
      <c r="L76" s="936">
        <f>SUMIF($T$39:$AH$39,L75,$T$40:$AH$40)</f>
        <v>0</v>
      </c>
      <c r="M76" s="936"/>
      <c r="N76" s="160" t="s">
        <v>1792</v>
      </c>
      <c r="O76" s="242" t="str">
        <f>IF(F75="","",IF(C76*F76-I76*L76&lt;=0,"",C76*F76-I76*L76))</f>
        <v/>
      </c>
      <c r="P76" s="846"/>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3">
      <c r="B77" s="1343" t="s">
        <v>224</v>
      </c>
      <c r="C77" s="847"/>
      <c r="D77" s="847"/>
      <c r="E77" s="233"/>
      <c r="F77" s="1535"/>
      <c r="G77" s="1535"/>
      <c r="H77" s="419"/>
      <c r="I77" s="847"/>
      <c r="J77" s="847"/>
      <c r="K77" s="233"/>
      <c r="L77" s="1535"/>
      <c r="M77" s="1535"/>
      <c r="N77" s="370"/>
      <c r="O77" s="13"/>
      <c r="P77" s="846"/>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3">
      <c r="B78" s="1344"/>
      <c r="C78" s="936">
        <v>0.09</v>
      </c>
      <c r="D78" s="936"/>
      <c r="E78" s="18" t="s">
        <v>1790</v>
      </c>
      <c r="F78" s="936">
        <f>SUMIF($T$39:$AH$39,F77,$T$40:$AH$40)</f>
        <v>0</v>
      </c>
      <c r="G78" s="936"/>
      <c r="H78" s="160" t="s">
        <v>1791</v>
      </c>
      <c r="I78" s="936">
        <v>0.09</v>
      </c>
      <c r="J78" s="936"/>
      <c r="K78" s="18" t="s">
        <v>1790</v>
      </c>
      <c r="L78" s="936">
        <f>SUMIF($T$39:$AH$39,L77,$T$40:$AH$40)</f>
        <v>0</v>
      </c>
      <c r="M78" s="936"/>
      <c r="N78" s="160" t="s">
        <v>1792</v>
      </c>
      <c r="O78" s="242" t="str">
        <f>IF(F77="","",IF(C78*F78-I78*L78&lt;=0,"",C78*F78-I78*L78))</f>
        <v/>
      </c>
      <c r="P78" s="846"/>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3">
      <c r="B79" s="1343" t="s">
        <v>225</v>
      </c>
      <c r="C79" s="847"/>
      <c r="D79" s="847"/>
      <c r="E79" s="233"/>
      <c r="F79" s="1535"/>
      <c r="G79" s="1535"/>
      <c r="H79" s="419"/>
      <c r="I79" s="847"/>
      <c r="J79" s="847"/>
      <c r="K79" s="233"/>
      <c r="L79" s="1535"/>
      <c r="M79" s="1535"/>
      <c r="N79" s="370"/>
      <c r="O79" s="13"/>
      <c r="P79" s="846"/>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3">
      <c r="B80" s="1344"/>
      <c r="C80" s="936">
        <v>0.09</v>
      </c>
      <c r="D80" s="936"/>
      <c r="E80" s="18" t="s">
        <v>1790</v>
      </c>
      <c r="F80" s="936">
        <f>SUMIF($T$39:$AH$39,F79,$T$40:$AH$40)</f>
        <v>0</v>
      </c>
      <c r="G80" s="936"/>
      <c r="H80" s="160" t="s">
        <v>1791</v>
      </c>
      <c r="I80" s="936">
        <v>0.09</v>
      </c>
      <c r="J80" s="936"/>
      <c r="K80" s="18" t="s">
        <v>1790</v>
      </c>
      <c r="L80" s="936">
        <f>SUMIF($T$39:$AH$39,L79,$T$40:$AH$40)</f>
        <v>0</v>
      </c>
      <c r="M80" s="936"/>
      <c r="N80" s="160" t="s">
        <v>1792</v>
      </c>
      <c r="O80" s="242" t="str">
        <f>IF(F79="","",IF(C80*F80-I80*L80&lt;=0,"",C80*F80-I80*L80))</f>
        <v/>
      </c>
      <c r="P80" s="846"/>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3">
      <c r="B81" s="270" t="s">
        <v>1731</v>
      </c>
      <c r="C81" s="1548" t="str">
        <f>IF(AND(O76&lt;&gt;"",V44=1),"ERROR: Record strength for 'Overall' or specific muscles, not both.","")</f>
        <v/>
      </c>
      <c r="D81" s="1548"/>
      <c r="E81" s="1548"/>
      <c r="F81" s="1548"/>
      <c r="G81" s="1548"/>
      <c r="H81" s="1548"/>
      <c r="I81" s="1548"/>
      <c r="J81" s="1548"/>
      <c r="K81" s="1548"/>
      <c r="L81" s="1548"/>
      <c r="M81" s="1548"/>
      <c r="N81" s="160" t="s">
        <v>1792</v>
      </c>
      <c r="O81" s="242">
        <f>IF(C81&lt;&gt;"","ERROR",IF(AND(O76="",O78="",O80=""),0,AVERAGE(O76,O78,O80)))</f>
        <v>0</v>
      </c>
      <c r="P81" s="846"/>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3">
      <c r="B82" s="421" t="s">
        <v>1386</v>
      </c>
      <c r="C82" s="847"/>
      <c r="D82" s="847"/>
      <c r="E82" s="233"/>
      <c r="F82" s="1535"/>
      <c r="G82" s="1535"/>
      <c r="H82" s="419"/>
      <c r="I82" s="847"/>
      <c r="J82" s="847"/>
      <c r="K82" s="233"/>
      <c r="L82" s="1535"/>
      <c r="M82" s="1535"/>
      <c r="N82" s="419"/>
      <c r="O82" s="233"/>
      <c r="P82" s="846"/>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3">
      <c r="B83" s="420" t="s">
        <v>226</v>
      </c>
      <c r="C83" s="936">
        <v>0.06</v>
      </c>
      <c r="D83" s="936"/>
      <c r="E83" s="18" t="s">
        <v>1790</v>
      </c>
      <c r="F83" s="936">
        <f>SUMIF($T$39:$AH$39,F82,$T$40:$AH$40)</f>
        <v>0</v>
      </c>
      <c r="G83" s="936"/>
      <c r="H83" s="160" t="s">
        <v>1791</v>
      </c>
      <c r="I83" s="936">
        <v>0.06</v>
      </c>
      <c r="J83" s="936"/>
      <c r="K83" s="18" t="s">
        <v>1790</v>
      </c>
      <c r="L83" s="936">
        <f>SUMIF($T$39:$AH$39,L82,$T$40:$AH$40)</f>
        <v>0</v>
      </c>
      <c r="M83" s="936"/>
      <c r="N83" s="160" t="s">
        <v>1792</v>
      </c>
      <c r="O83" s="243">
        <f>IF(C83*F83-I83*L83&lt;0,0,C83*F83-I83*L83)</f>
        <v>0</v>
      </c>
      <c r="P83" s="847"/>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3">
      <c r="B84" s="958" t="s">
        <v>227</v>
      </c>
      <c r="C84" s="958"/>
      <c r="D84" s="958"/>
      <c r="E84" s="958"/>
      <c r="F84" s="958"/>
      <c r="G84" s="958"/>
      <c r="H84" s="958"/>
      <c r="I84" s="958"/>
      <c r="J84" s="958"/>
      <c r="K84" s="958"/>
      <c r="L84" s="958"/>
      <c r="M84" s="958"/>
      <c r="N84" s="958"/>
      <c r="O84" s="958"/>
      <c r="P84" s="24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3">
      <c r="B85" s="1195"/>
      <c r="C85" s="1195"/>
      <c r="D85" s="1195"/>
      <c r="E85" s="1195"/>
      <c r="F85" s="1195"/>
      <c r="G85" s="1195"/>
      <c r="H85" s="1195"/>
      <c r="I85" s="1195"/>
      <c r="J85" s="1195"/>
      <c r="K85" s="1195"/>
      <c r="L85" s="1195"/>
      <c r="M85" s="1195"/>
      <c r="N85" s="1195"/>
      <c r="O85" s="1195"/>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3">
      <c r="B86" s="947" t="s">
        <v>596</v>
      </c>
      <c r="C86" s="878"/>
      <c r="D86" s="878"/>
      <c r="E86" s="878"/>
      <c r="F86" s="878"/>
      <c r="G86" s="878"/>
      <c r="H86" s="878"/>
      <c r="I86" s="878"/>
      <c r="J86" s="878"/>
      <c r="K86" s="878"/>
      <c r="L86" s="878"/>
      <c r="M86" s="878"/>
      <c r="N86" s="878"/>
      <c r="O86" s="878"/>
      <c r="P86" s="146"/>
      <c r="Q86" s="6"/>
      <c r="R86" s="77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3">
      <c r="B87" s="776" t="s">
        <v>607</v>
      </c>
      <c r="C87" s="776"/>
      <c r="D87" s="776"/>
      <c r="E87" s="776"/>
      <c r="F87" s="776"/>
      <c r="G87" s="776"/>
      <c r="H87" s="776"/>
      <c r="I87" s="776"/>
      <c r="J87" s="776"/>
      <c r="K87" s="776"/>
      <c r="L87" s="776"/>
      <c r="M87" s="776"/>
      <c r="N87" s="776"/>
      <c r="O87" s="776"/>
      <c r="P87" s="146"/>
      <c r="Q87" s="6"/>
      <c r="R87" s="77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3">
      <c r="A88" s="15"/>
      <c r="B88" s="806" t="s">
        <v>948</v>
      </c>
      <c r="C88" s="806"/>
      <c r="D88" s="806"/>
      <c r="E88" s="806"/>
      <c r="F88" s="806"/>
      <c r="G88" s="806"/>
      <c r="H88" s="806"/>
      <c r="I88" s="806"/>
      <c r="J88" s="806"/>
      <c r="K88" s="1534"/>
      <c r="L88" s="1534"/>
      <c r="M88" s="1534"/>
      <c r="N88" s="1534"/>
      <c r="O88" s="1534"/>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3">
      <c r="B89" s="1195"/>
      <c r="C89" s="1195"/>
      <c r="D89" s="1195"/>
      <c r="E89" s="1195"/>
      <c r="F89" s="1195"/>
      <c r="G89" s="1195"/>
      <c r="H89" s="1195"/>
      <c r="I89" s="1195"/>
      <c r="J89" s="1195"/>
      <c r="K89" s="1195"/>
      <c r="L89" s="1195"/>
      <c r="M89" s="1195"/>
      <c r="N89" s="1195"/>
      <c r="O89" s="1195"/>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3">
      <c r="B90" s="879" t="s">
        <v>1772</v>
      </c>
      <c r="C90" s="880"/>
      <c r="D90" s="880"/>
      <c r="E90" s="880"/>
      <c r="F90" s="881"/>
      <c r="G90" s="922" t="s">
        <v>1524</v>
      </c>
      <c r="H90" s="926"/>
      <c r="I90" s="926"/>
      <c r="J90" s="926"/>
      <c r="K90" s="1528" t="str">
        <f>IF(AND(Y91=0,Y93=1),Z94,"")</f>
        <v/>
      </c>
      <c r="L90" s="1529"/>
      <c r="M90" s="1529"/>
      <c r="N90" s="1529"/>
      <c r="O90" s="1530"/>
      <c r="P90" s="1549">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3">
      <c r="B91" s="806" t="s">
        <v>1958</v>
      </c>
      <c r="C91" s="806"/>
      <c r="D91" s="806"/>
      <c r="E91" s="770">
        <f>P19</f>
        <v>0</v>
      </c>
      <c r="F91" s="770"/>
      <c r="G91" s="874"/>
      <c r="H91" s="876"/>
      <c r="I91" s="1544">
        <f>IF(AND(S91&lt;0.01,S91&gt;0),0.01,ROUND(S91,2))</f>
        <v>0</v>
      </c>
      <c r="J91" s="1545"/>
      <c r="K91" s="1531"/>
      <c r="L91" s="1532"/>
      <c r="M91" s="1532"/>
      <c r="N91" s="1532"/>
      <c r="O91" s="1533"/>
      <c r="P91" s="1550"/>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3">
      <c r="B92" s="806" t="s">
        <v>228</v>
      </c>
      <c r="C92" s="806"/>
      <c r="D92" s="806"/>
      <c r="E92" s="770">
        <f>P22</f>
        <v>0</v>
      </c>
      <c r="F92" s="770"/>
      <c r="G92" s="1337" t="s">
        <v>1941</v>
      </c>
      <c r="H92" s="1001"/>
      <c r="I92" s="1337"/>
      <c r="J92" s="1001"/>
      <c r="K92" s="1531"/>
      <c r="L92" s="1532"/>
      <c r="M92" s="1532"/>
      <c r="N92" s="1532"/>
      <c r="O92" s="1533"/>
      <c r="P92" s="1550"/>
      <c r="Q92" s="6"/>
      <c r="S92" s="208"/>
      <c r="T92" s="208">
        <f>E92</f>
        <v>0</v>
      </c>
      <c r="U92" s="84">
        <f>LARGE($T$91:$T$98,2)</f>
        <v>0</v>
      </c>
      <c r="V92" s="12">
        <f t="shared" ref="V92:V97" si="4">W91+U93*(1-W91)</f>
        <v>0</v>
      </c>
      <c r="W92" s="52">
        <f t="shared" si="3"/>
        <v>0</v>
      </c>
      <c r="X92" s="6"/>
      <c r="Y92" s="13">
        <f>IF(SUM(E92:E96)&gt;0,0,1)</f>
        <v>1</v>
      </c>
      <c r="Z92" s="2" t="s">
        <v>1328</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3">
      <c r="B93" s="806" t="s">
        <v>1634</v>
      </c>
      <c r="C93" s="806"/>
      <c r="D93" s="806"/>
      <c r="E93" s="770">
        <f>P23</f>
        <v>0</v>
      </c>
      <c r="F93" s="770"/>
      <c r="G93" s="1337" t="s">
        <v>1941</v>
      </c>
      <c r="H93" s="1001"/>
      <c r="I93" s="1337"/>
      <c r="J93" s="1001"/>
      <c r="K93" s="1531"/>
      <c r="L93" s="1532"/>
      <c r="M93" s="1532"/>
      <c r="N93" s="1532"/>
      <c r="O93" s="1533"/>
      <c r="P93" s="1550"/>
      <c r="Q93" s="6"/>
      <c r="S93" s="208"/>
      <c r="T93" s="208">
        <f>E93</f>
        <v>0</v>
      </c>
      <c r="U93" s="84">
        <f>LARGE($T$91:$T$98,3)</f>
        <v>0</v>
      </c>
      <c r="V93" s="12">
        <f t="shared" si="4"/>
        <v>0</v>
      </c>
      <c r="W93" s="52">
        <f t="shared" si="3"/>
        <v>0</v>
      </c>
      <c r="X93" s="6"/>
      <c r="Y93" s="13">
        <f>IF(OR(G99&gt;0,G91&gt;0),1,0)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3">
      <c r="B94" s="806" t="s">
        <v>1635</v>
      </c>
      <c r="C94" s="806"/>
      <c r="D94" s="806"/>
      <c r="E94" s="770">
        <f>P24</f>
        <v>0</v>
      </c>
      <c r="F94" s="770"/>
      <c r="G94" s="1337" t="s">
        <v>1941</v>
      </c>
      <c r="H94" s="1001"/>
      <c r="I94" s="1337"/>
      <c r="J94" s="1001"/>
      <c r="K94" s="1531"/>
      <c r="L94" s="1532"/>
      <c r="M94" s="1532"/>
      <c r="N94" s="1532"/>
      <c r="O94" s="1533"/>
      <c r="P94" s="1550"/>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3">
      <c r="B95" s="806" t="s">
        <v>1636</v>
      </c>
      <c r="C95" s="806"/>
      <c r="D95" s="806"/>
      <c r="E95" s="770">
        <f>P25</f>
        <v>0</v>
      </c>
      <c r="F95" s="770"/>
      <c r="G95" s="1337" t="s">
        <v>1941</v>
      </c>
      <c r="H95" s="1001"/>
      <c r="I95" s="1337"/>
      <c r="J95" s="1001"/>
      <c r="K95" s="1531"/>
      <c r="L95" s="1532"/>
      <c r="M95" s="1532"/>
      <c r="N95" s="1532"/>
      <c r="O95" s="1533"/>
      <c r="P95" s="1550"/>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3">
      <c r="B96" s="776" t="s">
        <v>1637</v>
      </c>
      <c r="C96" s="806"/>
      <c r="D96" s="806"/>
      <c r="E96" s="770">
        <f>P31</f>
        <v>0</v>
      </c>
      <c r="F96" s="770"/>
      <c r="G96" s="1337" t="s">
        <v>1941</v>
      </c>
      <c r="H96" s="1001"/>
      <c r="I96" s="1337"/>
      <c r="J96" s="1001"/>
      <c r="K96" s="1558"/>
      <c r="L96" s="1559"/>
      <c r="M96" s="1559"/>
      <c r="N96" s="1559"/>
      <c r="O96" s="1560"/>
      <c r="P96" s="1550"/>
      <c r="Q96" s="6"/>
      <c r="S96" s="208"/>
      <c r="T96" s="208">
        <f>E96</f>
        <v>0</v>
      </c>
      <c r="U96" s="84">
        <f>LARGE($T$91:$T$98,6)</f>
        <v>0</v>
      </c>
      <c r="V96" s="12">
        <f t="shared" si="4"/>
        <v>0</v>
      </c>
      <c r="W96" s="52">
        <f t="shared" si="3"/>
        <v>0</v>
      </c>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3">
      <c r="B97" s="806" t="s">
        <v>1638</v>
      </c>
      <c r="C97" s="806"/>
      <c r="D97" s="806"/>
      <c r="E97" s="770">
        <f>P84</f>
        <v>0</v>
      </c>
      <c r="F97" s="770"/>
      <c r="G97" s="874"/>
      <c r="H97" s="876"/>
      <c r="I97" s="1544">
        <f>IF(AND(S97&lt;0.01,S97&gt;0),0.01,ROUND(S97,2))</f>
        <v>0</v>
      </c>
      <c r="J97" s="1545"/>
      <c r="K97" s="1558"/>
      <c r="L97" s="1559"/>
      <c r="M97" s="1559"/>
      <c r="N97" s="1559"/>
      <c r="O97" s="1560"/>
      <c r="P97" s="1550"/>
      <c r="Q97" s="6"/>
      <c r="S97" s="207">
        <f>IF(G97&gt;0,E97*G97,0)</f>
        <v>0</v>
      </c>
      <c r="T97" s="208">
        <f>IF(I97&gt;0,I97,E97)</f>
        <v>0</v>
      </c>
      <c r="U97" s="84">
        <f>LARGE($T$91:$T$98,7)</f>
        <v>0</v>
      </c>
      <c r="V97" s="12">
        <f t="shared" si="4"/>
        <v>0</v>
      </c>
      <c r="W97" s="52">
        <f t="shared" si="3"/>
        <v>0</v>
      </c>
      <c r="X97" s="6"/>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3">
      <c r="B98" s="804" t="s">
        <v>596</v>
      </c>
      <c r="C98" s="804"/>
      <c r="D98" s="804"/>
      <c r="E98" s="1015">
        <f>P88</f>
        <v>0</v>
      </c>
      <c r="F98" s="1015"/>
      <c r="G98" s="1555"/>
      <c r="H98" s="1556"/>
      <c r="I98" s="1544">
        <f>IF(AND(S98&lt;0.01,S98&gt;0),0.01,ROUND(S98,2))</f>
        <v>0</v>
      </c>
      <c r="J98" s="1545"/>
      <c r="K98" s="1561"/>
      <c r="L98" s="1562"/>
      <c r="M98" s="1562"/>
      <c r="N98" s="1562"/>
      <c r="O98" s="1563"/>
      <c r="P98" s="1550"/>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3">
      <c r="B99" s="1001"/>
      <c r="C99" s="1525"/>
      <c r="D99" s="1525"/>
      <c r="E99" s="1525"/>
      <c r="F99" s="1525"/>
      <c r="G99" s="1525"/>
      <c r="H99" s="1525"/>
      <c r="I99" s="1525"/>
      <c r="J99" s="1526"/>
      <c r="K99" s="1523" t="s">
        <v>2249</v>
      </c>
      <c r="L99" s="1523"/>
      <c r="M99" s="1523"/>
      <c r="N99" s="1523"/>
      <c r="O99" s="1524"/>
      <c r="P99" s="1557"/>
      <c r="Q99" s="6"/>
      <c r="S99" s="6"/>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35">
      <c r="B100" s="779" t="s">
        <v>947</v>
      </c>
      <c r="C100" s="779"/>
      <c r="D100" s="779"/>
      <c r="E100" s="779"/>
      <c r="F100" s="779"/>
      <c r="G100" s="779"/>
      <c r="H100" s="779"/>
      <c r="I100" s="779"/>
      <c r="J100" s="779"/>
      <c r="K100" s="779"/>
      <c r="L100" s="779"/>
      <c r="M100" s="779"/>
      <c r="N100" s="779"/>
      <c r="O100" s="779"/>
      <c r="P100" s="1049"/>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35">
      <c r="B101" s="247" t="s">
        <v>790</v>
      </c>
      <c r="C101" s="1336" t="str">
        <f>IF(U1&lt;&gt;"",U1,"")</f>
        <v>Go to PPD Worksheet</v>
      </c>
      <c r="D101" s="1336"/>
      <c r="E101" s="1336"/>
      <c r="F101" s="1336"/>
      <c r="G101" s="1336"/>
      <c r="H101" s="1336"/>
      <c r="I101" s="1527" t="str">
        <f>IF(T1&lt;&gt;"",T1,"")</f>
        <v/>
      </c>
      <c r="J101" s="1527"/>
      <c r="K101" s="1527"/>
      <c r="L101" s="1527"/>
      <c r="M101" s="1527"/>
      <c r="N101" s="1527"/>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3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3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3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customHeight="1" x14ac:dyDescent="0.3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customHeight="1" x14ac:dyDescent="0.35">
      <c r="B106" s="1553" t="s">
        <v>2267</v>
      </c>
      <c r="C106" s="1553"/>
      <c r="D106" s="678"/>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customHeight="1" x14ac:dyDescent="0.35">
      <c r="B107" s="1553"/>
      <c r="C107" s="1553"/>
      <c r="D107" s="678"/>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customHeight="1" x14ac:dyDescent="0.35">
      <c r="B108" s="1553"/>
      <c r="C108" s="1553"/>
      <c r="D108" s="678"/>
      <c r="E108" s="1543"/>
      <c r="F108" s="792"/>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customHeight="1" x14ac:dyDescent="0.3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x14ac:dyDescent="0.3">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112"/>
      <c r="CN110" s="5"/>
      <c r="CO110" s="5"/>
      <c r="CP110" s="112"/>
      <c r="CQ110" s="5"/>
      <c r="CR110" s="5"/>
      <c r="CS110" s="112"/>
      <c r="CT110" s="5"/>
      <c r="CU110" s="5"/>
      <c r="CV110" s="112"/>
      <c r="CW110" s="5"/>
      <c r="CX110" s="5"/>
      <c r="CY110" s="112"/>
      <c r="CZ110" s="5"/>
      <c r="DA110" s="5"/>
      <c r="DB110" s="112"/>
      <c r="DC110" s="5"/>
      <c r="DD110" s="5"/>
      <c r="DE110" s="112"/>
      <c r="DF110" s="5"/>
      <c r="DG110" s="5"/>
      <c r="DH110" s="112"/>
      <c r="DI110" s="5"/>
      <c r="DJ110" s="5"/>
      <c r="DK110" s="112"/>
      <c r="DL110" s="5"/>
      <c r="DM110" s="5"/>
      <c r="DN110" s="112"/>
      <c r="DO110" s="5"/>
      <c r="DP110" s="5"/>
      <c r="DQ110" s="112"/>
      <c r="DR110" s="5"/>
      <c r="DS110" s="5"/>
      <c r="DT110" s="112"/>
      <c r="DU110" s="5"/>
      <c r="DV110" s="5"/>
      <c r="DW110" s="112"/>
      <c r="DX110" s="5"/>
      <c r="DY110" s="5"/>
      <c r="DZ110" s="112"/>
      <c r="EA110" s="5"/>
      <c r="EB110" s="5"/>
      <c r="EC110" s="112"/>
      <c r="ED110" s="5"/>
      <c r="EE110" s="5"/>
      <c r="EF110" s="112"/>
      <c r="EG110" s="5"/>
      <c r="EH110" s="5"/>
      <c r="EI110" s="112"/>
      <c r="EJ110" s="5"/>
      <c r="EK110" s="5"/>
      <c r="EL110" s="112"/>
      <c r="EM110" s="5"/>
      <c r="EN110" s="5"/>
      <c r="EO110" s="112"/>
      <c r="EP110" s="5"/>
      <c r="EQ110" s="5"/>
      <c r="ER110" s="112"/>
      <c r="ES110" s="5"/>
      <c r="ET110" s="5"/>
      <c r="EU110" s="112"/>
      <c r="EV110" s="5"/>
      <c r="EW110" s="5"/>
      <c r="EX110" s="112"/>
      <c r="EY110" s="5"/>
      <c r="EZ110" s="5"/>
      <c r="FA110" s="112"/>
      <c r="FB110" s="5"/>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3">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112"/>
      <c r="CN111" s="5"/>
      <c r="CO111" s="5"/>
      <c r="CP111" s="112"/>
      <c r="CQ111" s="5"/>
      <c r="CR111" s="5"/>
      <c r="CS111" s="112"/>
      <c r="CT111" s="5"/>
      <c r="CU111" s="5"/>
      <c r="CV111" s="112"/>
      <c r="CW111" s="5"/>
      <c r="CX111" s="5"/>
      <c r="CY111" s="112"/>
      <c r="CZ111" s="5"/>
      <c r="DA111" s="5"/>
      <c r="DB111" s="112"/>
      <c r="DC111" s="5"/>
      <c r="DD111" s="5"/>
      <c r="DE111" s="112"/>
      <c r="DF111" s="5"/>
      <c r="DG111" s="5"/>
      <c r="DH111" s="112"/>
      <c r="DI111" s="5"/>
      <c r="DJ111" s="5"/>
      <c r="DK111" s="112"/>
      <c r="DL111" s="5"/>
      <c r="DM111" s="5"/>
      <c r="DN111" s="112"/>
      <c r="DO111" s="5"/>
      <c r="DP111" s="5"/>
      <c r="DQ111" s="112"/>
      <c r="DR111" s="5"/>
      <c r="DS111" s="5"/>
      <c r="DT111" s="112"/>
      <c r="DU111" s="5"/>
      <c r="DV111" s="5"/>
      <c r="DW111" s="112"/>
      <c r="DX111" s="5"/>
      <c r="DY111" s="5"/>
      <c r="DZ111" s="112"/>
      <c r="EA111" s="5"/>
      <c r="EB111" s="5"/>
      <c r="EC111" s="112"/>
      <c r="ED111" s="5"/>
      <c r="EE111" s="5"/>
      <c r="EF111" s="112"/>
      <c r="EG111" s="5"/>
      <c r="EH111" s="5"/>
      <c r="EI111" s="112"/>
      <c r="EJ111" s="5"/>
      <c r="EK111" s="5"/>
      <c r="EL111" s="112"/>
      <c r="EM111" s="5"/>
      <c r="EN111" s="5"/>
      <c r="EO111" s="112"/>
      <c r="EP111" s="5"/>
      <c r="EQ111" s="5"/>
      <c r="ER111" s="112"/>
      <c r="ES111" s="5"/>
      <c r="ET111" s="5"/>
      <c r="EU111" s="112"/>
      <c r="EV111" s="5"/>
      <c r="EW111" s="5"/>
      <c r="EX111" s="112"/>
      <c r="EY111" s="5"/>
      <c r="EZ111" s="5"/>
      <c r="FA111" s="112"/>
      <c r="FB111" s="5"/>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3">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x14ac:dyDescent="0.3">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x14ac:dyDescent="0.3">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x14ac:dyDescent="0.3">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x14ac:dyDescent="0.3">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x14ac:dyDescent="0.3">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x14ac:dyDescent="0.3">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x14ac:dyDescent="0.3">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x14ac:dyDescent="0.3">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x14ac:dyDescent="0.3">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x14ac:dyDescent="0.3">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x14ac:dyDescent="0.3">
      <c r="B123" s="146">
        <v>6</v>
      </c>
      <c r="C123" s="2"/>
    </row>
    <row r="124" spans="2:158" x14ac:dyDescent="0.3">
      <c r="B124" s="146">
        <v>7</v>
      </c>
      <c r="C124" s="2"/>
    </row>
    <row r="125" spans="2:158" x14ac:dyDescent="0.3">
      <c r="B125" s="146">
        <v>8</v>
      </c>
    </row>
    <row r="126" spans="2:158" x14ac:dyDescent="0.3">
      <c r="B126" s="146">
        <v>9</v>
      </c>
    </row>
    <row r="127" spans="2:158" x14ac:dyDescent="0.3">
      <c r="B127" s="146">
        <v>10</v>
      </c>
    </row>
    <row r="128" spans="2:158" x14ac:dyDescent="0.3">
      <c r="B128" s="146">
        <v>11</v>
      </c>
    </row>
    <row r="129" spans="2:2" x14ac:dyDescent="0.3">
      <c r="B129" s="146">
        <v>12</v>
      </c>
    </row>
    <row r="130" spans="2:2" x14ac:dyDescent="0.3">
      <c r="B130" s="146">
        <v>13</v>
      </c>
    </row>
    <row r="131" spans="2:2" x14ac:dyDescent="0.3">
      <c r="B131" s="146">
        <v>14</v>
      </c>
    </row>
    <row r="132" spans="2:2" x14ac:dyDescent="0.3">
      <c r="B132" s="146">
        <v>15</v>
      </c>
    </row>
    <row r="133" spans="2:2" x14ac:dyDescent="0.3">
      <c r="B133" s="146">
        <v>16</v>
      </c>
    </row>
    <row r="134" spans="2:2" x14ac:dyDescent="0.3">
      <c r="B134" s="146">
        <v>17</v>
      </c>
    </row>
    <row r="135" spans="2:2" x14ac:dyDescent="0.3">
      <c r="B135" s="146">
        <v>18</v>
      </c>
    </row>
    <row r="136" spans="2:2" x14ac:dyDescent="0.3">
      <c r="B136" s="146">
        <v>19</v>
      </c>
    </row>
    <row r="137" spans="2:2" x14ac:dyDescent="0.3">
      <c r="B137" s="146">
        <v>20</v>
      </c>
    </row>
    <row r="138" spans="2:2" x14ac:dyDescent="0.3">
      <c r="B138" s="146">
        <v>21</v>
      </c>
    </row>
    <row r="139" spans="2:2" x14ac:dyDescent="0.3">
      <c r="B139" s="146">
        <v>22</v>
      </c>
    </row>
    <row r="140" spans="2:2" x14ac:dyDescent="0.3">
      <c r="B140" s="146">
        <v>23</v>
      </c>
    </row>
    <row r="141" spans="2:2" x14ac:dyDescent="0.3">
      <c r="B141" s="146">
        <v>24</v>
      </c>
    </row>
    <row r="142" spans="2:2" x14ac:dyDescent="0.3">
      <c r="B142" s="146">
        <v>25</v>
      </c>
    </row>
    <row r="143" spans="2:2" x14ac:dyDescent="0.3">
      <c r="B143" s="146">
        <v>26</v>
      </c>
    </row>
    <row r="144" spans="2:2" x14ac:dyDescent="0.3">
      <c r="B144" s="146">
        <v>27</v>
      </c>
    </row>
    <row r="145" spans="2:2" x14ac:dyDescent="0.3">
      <c r="B145" s="146">
        <v>28</v>
      </c>
    </row>
    <row r="146" spans="2:2" x14ac:dyDescent="0.3">
      <c r="B146" s="146">
        <v>29</v>
      </c>
    </row>
    <row r="147" spans="2:2" x14ac:dyDescent="0.3">
      <c r="B147" s="146">
        <v>30</v>
      </c>
    </row>
    <row r="148" spans="2:2" x14ac:dyDescent="0.3">
      <c r="B148" s="146">
        <v>31</v>
      </c>
    </row>
    <row r="149" spans="2:2" x14ac:dyDescent="0.3">
      <c r="B149" s="146">
        <v>32</v>
      </c>
    </row>
    <row r="150" spans="2:2" x14ac:dyDescent="0.3">
      <c r="B150" s="146">
        <v>33</v>
      </c>
    </row>
    <row r="151" spans="2:2" x14ac:dyDescent="0.3">
      <c r="B151" s="146">
        <v>34</v>
      </c>
    </row>
    <row r="152" spans="2:2" x14ac:dyDescent="0.3">
      <c r="B152" s="146">
        <v>35</v>
      </c>
    </row>
    <row r="153" spans="2:2" x14ac:dyDescent="0.3">
      <c r="B153" s="146">
        <v>36</v>
      </c>
    </row>
    <row r="154" spans="2:2" x14ac:dyDescent="0.3">
      <c r="B154" s="146">
        <v>37</v>
      </c>
    </row>
    <row r="155" spans="2:2" x14ac:dyDescent="0.3">
      <c r="B155" s="146">
        <v>38</v>
      </c>
    </row>
    <row r="156" spans="2:2" x14ac:dyDescent="0.3">
      <c r="B156" s="146">
        <v>39</v>
      </c>
    </row>
    <row r="157" spans="2:2" x14ac:dyDescent="0.3">
      <c r="B157" s="146">
        <v>40</v>
      </c>
    </row>
    <row r="158" spans="2:2" x14ac:dyDescent="0.3">
      <c r="B158" s="146">
        <v>41</v>
      </c>
    </row>
    <row r="159" spans="2:2" x14ac:dyDescent="0.3">
      <c r="B159" s="146">
        <v>42</v>
      </c>
    </row>
    <row r="160" spans="2:2" x14ac:dyDescent="0.3">
      <c r="B160" s="146">
        <v>43</v>
      </c>
    </row>
    <row r="161" spans="2:2" x14ac:dyDescent="0.3">
      <c r="B161" s="146">
        <v>44</v>
      </c>
    </row>
    <row r="162" spans="2:2" x14ac:dyDescent="0.3">
      <c r="B162" s="146">
        <v>45</v>
      </c>
    </row>
    <row r="163" spans="2:2" x14ac:dyDescent="0.3">
      <c r="B163" s="146">
        <v>46</v>
      </c>
    </row>
    <row r="164" spans="2:2" x14ac:dyDescent="0.3">
      <c r="B164" s="146">
        <v>47</v>
      </c>
    </row>
    <row r="165" spans="2:2" x14ac:dyDescent="0.3">
      <c r="B165" s="146">
        <v>48</v>
      </c>
    </row>
    <row r="166" spans="2:2" x14ac:dyDescent="0.3">
      <c r="B166" s="146">
        <v>49</v>
      </c>
    </row>
    <row r="167" spans="2:2" x14ac:dyDescent="0.3">
      <c r="B167" s="146">
        <v>50</v>
      </c>
    </row>
    <row r="168" spans="2:2" x14ac:dyDescent="0.3">
      <c r="B168" s="146">
        <v>51</v>
      </c>
    </row>
    <row r="169" spans="2:2" x14ac:dyDescent="0.3">
      <c r="B169" s="146">
        <v>52</v>
      </c>
    </row>
    <row r="170" spans="2:2" x14ac:dyDescent="0.3">
      <c r="B170" s="146">
        <v>53</v>
      </c>
    </row>
    <row r="171" spans="2:2" x14ac:dyDescent="0.3">
      <c r="B171" s="146">
        <v>54</v>
      </c>
    </row>
    <row r="172" spans="2:2" x14ac:dyDescent="0.3">
      <c r="B172" s="146">
        <v>55</v>
      </c>
    </row>
    <row r="173" spans="2:2" x14ac:dyDescent="0.3">
      <c r="B173" s="146">
        <v>56</v>
      </c>
    </row>
    <row r="174" spans="2:2" x14ac:dyDescent="0.3">
      <c r="B174" s="146">
        <v>57</v>
      </c>
    </row>
    <row r="175" spans="2:2" x14ac:dyDescent="0.3">
      <c r="B175" s="146">
        <v>58</v>
      </c>
    </row>
    <row r="176" spans="2:2" x14ac:dyDescent="0.3">
      <c r="B176" s="146">
        <v>59</v>
      </c>
    </row>
    <row r="177" spans="2:2" x14ac:dyDescent="0.3">
      <c r="B177" s="146">
        <v>60</v>
      </c>
    </row>
    <row r="178" spans="2:2" x14ac:dyDescent="0.3">
      <c r="B178" s="146">
        <v>61</v>
      </c>
    </row>
    <row r="179" spans="2:2" x14ac:dyDescent="0.3">
      <c r="B179" s="146">
        <v>62</v>
      </c>
    </row>
    <row r="180" spans="2:2" x14ac:dyDescent="0.3">
      <c r="B180" s="146">
        <v>63</v>
      </c>
    </row>
    <row r="181" spans="2:2" x14ac:dyDescent="0.3">
      <c r="B181" s="146">
        <v>64</v>
      </c>
    </row>
    <row r="182" spans="2:2" x14ac:dyDescent="0.3">
      <c r="B182" s="146">
        <v>65</v>
      </c>
    </row>
    <row r="183" spans="2:2" x14ac:dyDescent="0.3">
      <c r="B183" s="146">
        <v>66</v>
      </c>
    </row>
    <row r="184" spans="2:2" x14ac:dyDescent="0.3">
      <c r="B184" s="146">
        <v>67</v>
      </c>
    </row>
    <row r="185" spans="2:2" x14ac:dyDescent="0.3">
      <c r="B185" s="146">
        <v>68</v>
      </c>
    </row>
    <row r="186" spans="2:2" x14ac:dyDescent="0.3">
      <c r="B186" s="146">
        <v>69</v>
      </c>
    </row>
    <row r="187" spans="2:2" x14ac:dyDescent="0.3">
      <c r="B187" s="146">
        <v>70</v>
      </c>
    </row>
    <row r="188" spans="2:2" x14ac:dyDescent="0.3">
      <c r="B188" s="146">
        <v>71</v>
      </c>
    </row>
    <row r="189" spans="2:2" x14ac:dyDescent="0.3">
      <c r="B189" s="146">
        <v>72</v>
      </c>
    </row>
    <row r="190" spans="2:2" x14ac:dyDescent="0.3">
      <c r="B190" s="146">
        <v>73</v>
      </c>
    </row>
    <row r="191" spans="2:2" x14ac:dyDescent="0.3">
      <c r="B191" s="146">
        <v>74</v>
      </c>
    </row>
    <row r="192" spans="2:2" x14ac:dyDescent="0.3">
      <c r="B192" s="146">
        <v>75</v>
      </c>
    </row>
    <row r="193" spans="2:2" x14ac:dyDescent="0.3">
      <c r="B193" s="146">
        <v>76</v>
      </c>
    </row>
    <row r="194" spans="2:2" x14ac:dyDescent="0.3">
      <c r="B194" s="146">
        <v>77</v>
      </c>
    </row>
    <row r="195" spans="2:2" x14ac:dyDescent="0.3">
      <c r="B195" s="146">
        <v>78</v>
      </c>
    </row>
    <row r="196" spans="2:2" x14ac:dyDescent="0.3">
      <c r="B196" s="146">
        <v>79</v>
      </c>
    </row>
    <row r="197" spans="2:2" x14ac:dyDescent="0.3">
      <c r="B197" s="146">
        <v>80</v>
      </c>
    </row>
    <row r="198" spans="2:2" x14ac:dyDescent="0.3">
      <c r="B198" s="146">
        <v>81</v>
      </c>
    </row>
    <row r="199" spans="2:2" x14ac:dyDescent="0.3">
      <c r="B199" s="146">
        <v>82</v>
      </c>
    </row>
    <row r="200" spans="2:2" x14ac:dyDescent="0.3">
      <c r="B200" s="146">
        <v>83</v>
      </c>
    </row>
    <row r="201" spans="2:2" x14ac:dyDescent="0.3">
      <c r="B201" s="146">
        <v>84</v>
      </c>
    </row>
    <row r="202" spans="2:2" x14ac:dyDescent="0.3">
      <c r="B202" s="146">
        <v>85</v>
      </c>
    </row>
    <row r="203" spans="2:2" x14ac:dyDescent="0.3">
      <c r="B203" s="146">
        <v>86</v>
      </c>
    </row>
    <row r="204" spans="2:2" x14ac:dyDescent="0.3">
      <c r="B204" s="146">
        <v>87</v>
      </c>
    </row>
    <row r="205" spans="2:2" x14ac:dyDescent="0.3">
      <c r="B205" s="146">
        <v>88</v>
      </c>
    </row>
    <row r="206" spans="2:2" x14ac:dyDescent="0.3">
      <c r="B206" s="146">
        <v>89</v>
      </c>
    </row>
    <row r="207" spans="2:2" x14ac:dyDescent="0.3">
      <c r="B207" s="146">
        <v>90</v>
      </c>
    </row>
    <row r="208" spans="2:2" x14ac:dyDescent="0.3">
      <c r="B208" s="146">
        <v>91</v>
      </c>
    </row>
    <row r="209" spans="2:2" x14ac:dyDescent="0.3">
      <c r="B209" s="146">
        <v>92</v>
      </c>
    </row>
    <row r="210" spans="2:2" x14ac:dyDescent="0.3">
      <c r="B210" s="146">
        <v>93</v>
      </c>
    </row>
    <row r="211" spans="2:2" x14ac:dyDescent="0.3">
      <c r="B211" s="146">
        <v>94</v>
      </c>
    </row>
    <row r="212" spans="2:2" x14ac:dyDescent="0.3">
      <c r="B212" s="146">
        <v>95</v>
      </c>
    </row>
    <row r="213" spans="2:2" x14ac:dyDescent="0.3">
      <c r="B213" s="146">
        <v>96</v>
      </c>
    </row>
    <row r="214" spans="2:2" x14ac:dyDescent="0.3">
      <c r="B214" s="146">
        <v>97</v>
      </c>
    </row>
    <row r="215" spans="2:2" x14ac:dyDescent="0.3">
      <c r="B215" s="146">
        <v>98</v>
      </c>
    </row>
    <row r="216" spans="2:2" x14ac:dyDescent="0.3">
      <c r="B216" s="146">
        <v>99</v>
      </c>
    </row>
    <row r="217" spans="2:2" x14ac:dyDescent="0.3">
      <c r="B217" s="146">
        <v>100</v>
      </c>
    </row>
    <row r="218" spans="2:2" x14ac:dyDescent="0.3">
      <c r="B218" s="146">
        <v>101</v>
      </c>
    </row>
    <row r="219" spans="2:2" x14ac:dyDescent="0.3">
      <c r="B219" s="146">
        <v>102</v>
      </c>
    </row>
    <row r="220" spans="2:2" x14ac:dyDescent="0.3">
      <c r="B220" s="146">
        <v>103</v>
      </c>
    </row>
    <row r="221" spans="2:2" x14ac:dyDescent="0.3">
      <c r="B221" s="146">
        <v>104</v>
      </c>
    </row>
    <row r="222" spans="2:2" x14ac:dyDescent="0.3">
      <c r="B222" s="146">
        <v>105</v>
      </c>
    </row>
    <row r="223" spans="2:2" x14ac:dyDescent="0.3">
      <c r="B223" s="146">
        <v>106</v>
      </c>
    </row>
    <row r="224" spans="2:2" x14ac:dyDescent="0.3">
      <c r="B224" s="146">
        <v>107</v>
      </c>
    </row>
    <row r="225" spans="2:2" x14ac:dyDescent="0.3">
      <c r="B225" s="146">
        <v>108</v>
      </c>
    </row>
    <row r="226" spans="2:2" x14ac:dyDescent="0.3">
      <c r="B226" s="146">
        <v>109</v>
      </c>
    </row>
    <row r="227" spans="2:2" x14ac:dyDescent="0.3">
      <c r="B227" s="146">
        <v>110</v>
      </c>
    </row>
    <row r="228" spans="2:2" x14ac:dyDescent="0.3">
      <c r="B228" s="146">
        <v>111</v>
      </c>
    </row>
    <row r="229" spans="2:2" x14ac:dyDescent="0.3">
      <c r="B229" s="146">
        <v>112</v>
      </c>
    </row>
    <row r="230" spans="2:2" x14ac:dyDescent="0.3">
      <c r="B230" s="146">
        <v>113</v>
      </c>
    </row>
    <row r="231" spans="2:2" x14ac:dyDescent="0.3">
      <c r="B231" s="146">
        <v>114</v>
      </c>
    </row>
    <row r="232" spans="2:2" x14ac:dyDescent="0.3">
      <c r="B232" s="146">
        <v>115</v>
      </c>
    </row>
    <row r="233" spans="2:2" x14ac:dyDescent="0.3">
      <c r="B233" s="146">
        <v>116</v>
      </c>
    </row>
    <row r="234" spans="2:2" x14ac:dyDescent="0.3">
      <c r="B234" s="146">
        <v>117</v>
      </c>
    </row>
    <row r="235" spans="2:2" x14ac:dyDescent="0.3">
      <c r="B235" s="146">
        <v>118</v>
      </c>
    </row>
    <row r="236" spans="2:2" x14ac:dyDescent="0.3">
      <c r="B236" s="146">
        <v>119</v>
      </c>
    </row>
    <row r="237" spans="2:2" x14ac:dyDescent="0.3">
      <c r="B237" s="146">
        <v>120</v>
      </c>
    </row>
    <row r="238" spans="2:2" x14ac:dyDescent="0.3">
      <c r="B238" s="146">
        <v>121</v>
      </c>
    </row>
    <row r="239" spans="2:2" x14ac:dyDescent="0.3">
      <c r="B239" s="146">
        <v>122</v>
      </c>
    </row>
    <row r="240" spans="2:2" x14ac:dyDescent="0.3">
      <c r="B240" s="146">
        <v>123</v>
      </c>
    </row>
    <row r="241" spans="2:2" x14ac:dyDescent="0.3">
      <c r="B241" s="146">
        <v>124</v>
      </c>
    </row>
    <row r="242" spans="2:2" x14ac:dyDescent="0.3">
      <c r="B242" s="146">
        <v>125</v>
      </c>
    </row>
    <row r="243" spans="2:2" x14ac:dyDescent="0.3">
      <c r="B243" s="146">
        <v>126</v>
      </c>
    </row>
    <row r="244" spans="2:2" x14ac:dyDescent="0.3">
      <c r="B244" s="146">
        <v>127</v>
      </c>
    </row>
    <row r="245" spans="2:2" x14ac:dyDescent="0.3">
      <c r="B245" s="146">
        <v>128</v>
      </c>
    </row>
    <row r="246" spans="2:2" x14ac:dyDescent="0.3">
      <c r="B246" s="146">
        <v>129</v>
      </c>
    </row>
    <row r="247" spans="2:2" x14ac:dyDescent="0.3">
      <c r="B247" s="146">
        <v>130</v>
      </c>
    </row>
    <row r="248" spans="2:2" x14ac:dyDescent="0.3">
      <c r="B248" s="146">
        <v>131</v>
      </c>
    </row>
    <row r="249" spans="2:2" x14ac:dyDescent="0.3">
      <c r="B249" s="146">
        <v>132</v>
      </c>
    </row>
    <row r="250" spans="2:2" x14ac:dyDescent="0.3">
      <c r="B250" s="146">
        <v>133</v>
      </c>
    </row>
    <row r="251" spans="2:2" x14ac:dyDescent="0.3">
      <c r="B251" s="146">
        <v>134</v>
      </c>
    </row>
    <row r="252" spans="2:2" x14ac:dyDescent="0.3">
      <c r="B252" s="146">
        <v>135</v>
      </c>
    </row>
    <row r="253" spans="2:2" x14ac:dyDescent="0.3">
      <c r="B253" s="146">
        <v>136</v>
      </c>
    </row>
    <row r="254" spans="2:2" x14ac:dyDescent="0.3">
      <c r="B254" s="146">
        <v>137</v>
      </c>
    </row>
    <row r="255" spans="2:2" x14ac:dyDescent="0.3">
      <c r="B255" s="146">
        <v>138</v>
      </c>
    </row>
    <row r="256" spans="2:2" x14ac:dyDescent="0.3">
      <c r="B256" s="146">
        <v>139</v>
      </c>
    </row>
    <row r="257" spans="2:2" x14ac:dyDescent="0.3">
      <c r="B257" s="146">
        <v>140</v>
      </c>
    </row>
    <row r="258" spans="2:2" x14ac:dyDescent="0.3">
      <c r="B258" s="146">
        <v>141</v>
      </c>
    </row>
    <row r="259" spans="2:2" x14ac:dyDescent="0.3">
      <c r="B259" s="146">
        <v>142</v>
      </c>
    </row>
    <row r="260" spans="2:2" x14ac:dyDescent="0.3">
      <c r="B260" s="146">
        <v>143</v>
      </c>
    </row>
    <row r="261" spans="2:2" x14ac:dyDescent="0.3">
      <c r="B261" s="146">
        <v>144</v>
      </c>
    </row>
    <row r="262" spans="2:2" x14ac:dyDescent="0.3">
      <c r="B262" s="146">
        <v>145</v>
      </c>
    </row>
    <row r="263" spans="2:2" x14ac:dyDescent="0.3">
      <c r="B263" s="146">
        <v>146</v>
      </c>
    </row>
    <row r="264" spans="2:2" x14ac:dyDescent="0.3">
      <c r="B264" s="146">
        <v>147</v>
      </c>
    </row>
    <row r="265" spans="2:2" x14ac:dyDescent="0.3">
      <c r="B265" s="146">
        <v>148</v>
      </c>
    </row>
    <row r="266" spans="2:2" x14ac:dyDescent="0.3">
      <c r="B266" s="146">
        <v>149</v>
      </c>
    </row>
    <row r="267" spans="2:2" x14ac:dyDescent="0.3">
      <c r="B267" s="146">
        <v>150</v>
      </c>
    </row>
    <row r="268" spans="2:2" x14ac:dyDescent="0.3">
      <c r="B268" s="146">
        <v>151</v>
      </c>
    </row>
    <row r="269" spans="2:2" x14ac:dyDescent="0.3">
      <c r="B269" s="146">
        <v>152</v>
      </c>
    </row>
    <row r="270" spans="2:2" x14ac:dyDescent="0.3">
      <c r="B270" s="146">
        <v>153</v>
      </c>
    </row>
    <row r="271" spans="2:2" x14ac:dyDescent="0.3">
      <c r="B271" s="146">
        <v>154</v>
      </c>
    </row>
    <row r="272" spans="2:2" x14ac:dyDescent="0.3">
      <c r="B272" s="146">
        <v>155</v>
      </c>
    </row>
    <row r="273" spans="2:2" x14ac:dyDescent="0.3">
      <c r="B273" s="146">
        <v>156</v>
      </c>
    </row>
    <row r="274" spans="2:2" x14ac:dyDescent="0.3">
      <c r="B274" s="146">
        <v>157</v>
      </c>
    </row>
    <row r="275" spans="2:2" x14ac:dyDescent="0.3">
      <c r="B275" s="146">
        <v>158</v>
      </c>
    </row>
    <row r="276" spans="2:2" x14ac:dyDescent="0.3">
      <c r="B276" s="146">
        <v>159</v>
      </c>
    </row>
    <row r="277" spans="2:2" x14ac:dyDescent="0.3">
      <c r="B277" s="146">
        <v>160</v>
      </c>
    </row>
    <row r="278" spans="2:2" x14ac:dyDescent="0.3">
      <c r="B278" s="146">
        <v>161</v>
      </c>
    </row>
    <row r="279" spans="2:2" x14ac:dyDescent="0.3">
      <c r="B279" s="146">
        <v>162</v>
      </c>
    </row>
    <row r="280" spans="2:2" x14ac:dyDescent="0.3">
      <c r="B280" s="146">
        <v>163</v>
      </c>
    </row>
    <row r="281" spans="2:2" x14ac:dyDescent="0.3">
      <c r="B281" s="146">
        <v>164</v>
      </c>
    </row>
    <row r="282" spans="2:2" x14ac:dyDescent="0.3">
      <c r="B282" s="146">
        <v>165</v>
      </c>
    </row>
    <row r="283" spans="2:2" x14ac:dyDescent="0.3">
      <c r="B283" s="146">
        <v>166</v>
      </c>
    </row>
    <row r="284" spans="2:2" x14ac:dyDescent="0.3">
      <c r="B284" s="146">
        <v>167</v>
      </c>
    </row>
    <row r="285" spans="2:2" x14ac:dyDescent="0.3">
      <c r="B285" s="146">
        <v>168</v>
      </c>
    </row>
    <row r="286" spans="2:2" x14ac:dyDescent="0.3">
      <c r="B286" s="146">
        <v>169</v>
      </c>
    </row>
    <row r="287" spans="2:2" x14ac:dyDescent="0.3">
      <c r="B287" s="146">
        <v>170</v>
      </c>
    </row>
    <row r="288" spans="2:2" x14ac:dyDescent="0.3">
      <c r="B288" s="146">
        <v>171</v>
      </c>
    </row>
    <row r="289" spans="2:2" x14ac:dyDescent="0.3">
      <c r="B289" s="146">
        <v>172</v>
      </c>
    </row>
    <row r="290" spans="2:2" x14ac:dyDescent="0.3">
      <c r="B290" s="146">
        <v>173</v>
      </c>
    </row>
    <row r="291" spans="2:2" x14ac:dyDescent="0.3">
      <c r="B291" s="146">
        <v>174</v>
      </c>
    </row>
    <row r="292" spans="2:2" x14ac:dyDescent="0.3">
      <c r="B292" s="146">
        <v>175</v>
      </c>
    </row>
    <row r="293" spans="2:2" x14ac:dyDescent="0.3">
      <c r="B293" s="146">
        <v>176</v>
      </c>
    </row>
    <row r="294" spans="2:2" x14ac:dyDescent="0.3">
      <c r="B294" s="146">
        <v>177</v>
      </c>
    </row>
    <row r="295" spans="2:2" x14ac:dyDescent="0.3">
      <c r="B295" s="146">
        <v>178</v>
      </c>
    </row>
    <row r="296" spans="2:2" x14ac:dyDescent="0.3">
      <c r="B296" s="146">
        <v>179</v>
      </c>
    </row>
    <row r="297" spans="2:2" x14ac:dyDescent="0.3">
      <c r="B297" s="146">
        <v>180</v>
      </c>
    </row>
  </sheetData>
  <sheetProtection sheet="1" objects="1" scenarios="1"/>
  <mergeCells count="321">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F61:G61"/>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F66:G66"/>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L58:M58"/>
    <mergeCell ref="F56:G56"/>
    <mergeCell ref="I57:J57"/>
    <mergeCell ref="L56:M56"/>
    <mergeCell ref="L55:M55"/>
    <mergeCell ref="L61:M61"/>
    <mergeCell ref="I59:J59"/>
    <mergeCell ref="F57:G57"/>
    <mergeCell ref="L57:M57"/>
    <mergeCell ref="L59:M59"/>
    <mergeCell ref="I56:J56"/>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91:H91">
    <cfRule type="cellIs" dxfId="4" priority="1" stopIfTrue="1" operator="greaterThanOrEqual">
      <formula>$Y$91</formula>
    </cfRule>
    <cfRule type="cellIs" dxfId="3" priority="2" stopIfTrue="1" operator="greaterThan">
      <formula>$Y$96</formula>
    </cfRule>
  </conditionalFormatting>
  <conditionalFormatting sqref="G97:H98">
    <cfRule type="cellIs" dxfId="2" priority="4" stopIfTrue="1" operator="greaterThan">
      <formula>$Y$96</formula>
    </cfRule>
  </conditionalFormatting>
  <dataValidations xWindow="652" yWindow="655"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1 G97: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31750</xdr:colOff>
                    <xdr:row>21</xdr:row>
                    <xdr:rowOff>12700</xdr:rowOff>
                  </from>
                  <to>
                    <xdr:col>1</xdr:col>
                    <xdr:colOff>1447800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12700</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25400</xdr:colOff>
                    <xdr:row>21</xdr:row>
                    <xdr:rowOff>12700</xdr:rowOff>
                  </from>
                  <to>
                    <xdr:col>12</xdr:col>
                    <xdr:colOff>133350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31750</xdr:colOff>
                    <xdr:row>22</xdr:row>
                    <xdr:rowOff>12700</xdr:rowOff>
                  </from>
                  <to>
                    <xdr:col>2</xdr:col>
                    <xdr:colOff>19050</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25400</xdr:colOff>
                    <xdr:row>22</xdr:row>
                    <xdr:rowOff>12700</xdr:rowOff>
                  </from>
                  <to>
                    <xdr:col>14</xdr:col>
                    <xdr:colOff>234950</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31750</xdr:colOff>
                    <xdr:row>23</xdr:row>
                    <xdr:rowOff>12700</xdr:rowOff>
                  </from>
                  <to>
                    <xdr:col>1</xdr:col>
                    <xdr:colOff>1555750</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25400</xdr:colOff>
                    <xdr:row>23</xdr:row>
                    <xdr:rowOff>12700</xdr:rowOff>
                  </from>
                  <to>
                    <xdr:col>14</xdr:col>
                    <xdr:colOff>234950</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31750</xdr:colOff>
                    <xdr:row>24</xdr:row>
                    <xdr:rowOff>12700</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25400</xdr:colOff>
                    <xdr:row>24</xdr:row>
                    <xdr:rowOff>12700</xdr:rowOff>
                  </from>
                  <to>
                    <xdr:col>12</xdr:col>
                    <xdr:colOff>133350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 x14ac:dyDescent="0.3"/>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1.54296875"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3">
      <c r="B1" s="10" t="s">
        <v>1732</v>
      </c>
      <c r="C1" s="747" t="str">
        <f>IF('Start here'!A6="","",'Start here'!A6)</f>
        <v/>
      </c>
      <c r="D1" s="751"/>
      <c r="E1" s="751"/>
      <c r="F1" s="751"/>
      <c r="G1" s="751"/>
      <c r="H1" s="751"/>
      <c r="I1" s="751"/>
      <c r="J1" s="752"/>
      <c r="K1" s="1"/>
      <c r="L1" s="747" t="str">
        <f>IF('Start here'!A7="","",'Start here'!A7)</f>
        <v/>
      </c>
      <c r="M1" s="751"/>
      <c r="N1" s="751"/>
      <c r="O1" s="751"/>
      <c r="P1" s="752"/>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4">
      <c r="B3" s="1572" t="s">
        <v>509</v>
      </c>
      <c r="C3" s="1573"/>
      <c r="D3" s="1573"/>
      <c r="E3" s="1573"/>
      <c r="F3" s="1573"/>
      <c r="G3" s="1573"/>
      <c r="H3" s="1573"/>
      <c r="I3" s="1573"/>
      <c r="J3" s="1573"/>
      <c r="K3" s="1573"/>
      <c r="L3" s="1573"/>
      <c r="M3" s="1573"/>
      <c r="N3" s="1573"/>
      <c r="O3" s="1573"/>
      <c r="P3" s="1573"/>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3">
      <c r="B4" s="1574" t="s">
        <v>2134</v>
      </c>
      <c r="C4" s="1575"/>
      <c r="D4" s="1575"/>
      <c r="E4" s="1575"/>
      <c r="F4" s="1575"/>
      <c r="G4" s="1575"/>
      <c r="H4" s="1575"/>
      <c r="I4" s="1575"/>
      <c r="J4" s="1575"/>
      <c r="K4" s="1575"/>
      <c r="L4" s="1575"/>
      <c r="M4" s="1575"/>
      <c r="N4" s="1575"/>
      <c r="O4" s="1575"/>
      <c r="P4" s="157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3">
      <c r="B5" s="1127" t="s">
        <v>2136</v>
      </c>
      <c r="C5" s="1127"/>
      <c r="D5" s="1127"/>
      <c r="E5" s="1127"/>
      <c r="F5" s="1127"/>
      <c r="G5" s="1127"/>
      <c r="H5" s="1127"/>
      <c r="I5" s="1127"/>
      <c r="J5" s="1127"/>
      <c r="K5" s="1127"/>
      <c r="L5" s="1127"/>
      <c r="M5" s="1127"/>
      <c r="N5" s="1127"/>
      <c r="O5" s="1127"/>
      <c r="P5" s="1127"/>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3">
      <c r="B6" s="792"/>
      <c r="C6" s="792"/>
      <c r="D6" s="792"/>
      <c r="E6" s="792"/>
      <c r="F6" s="792"/>
      <c r="G6" s="792"/>
      <c r="H6" s="792"/>
      <c r="I6" s="792"/>
      <c r="J6" s="792"/>
      <c r="K6" s="792"/>
      <c r="L6" s="792"/>
      <c r="M6" s="792"/>
      <c r="N6" s="792"/>
      <c r="O6" s="792"/>
      <c r="P6" s="792"/>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3">
      <c r="B7" s="925" t="s">
        <v>1594</v>
      </c>
      <c r="C7" s="925"/>
      <c r="D7" s="925"/>
      <c r="E7" s="925"/>
      <c r="F7" s="925"/>
      <c r="G7" s="925"/>
      <c r="H7" s="925"/>
      <c r="I7" s="925"/>
      <c r="J7" s="925"/>
      <c r="K7" s="925"/>
      <c r="L7" s="925"/>
      <c r="M7" s="925"/>
      <c r="N7" s="925"/>
      <c r="O7" s="925"/>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3">
      <c r="B8" s="276"/>
      <c r="C8" s="925" t="s">
        <v>1595</v>
      </c>
      <c r="D8" s="925"/>
      <c r="E8" s="925"/>
      <c r="F8" s="925"/>
      <c r="G8" s="925" t="s">
        <v>1596</v>
      </c>
      <c r="H8" s="925"/>
      <c r="I8" s="925"/>
      <c r="J8" s="925"/>
      <c r="K8" s="1571"/>
      <c r="L8" s="1571"/>
      <c r="M8" s="1571"/>
      <c r="N8" s="1571"/>
      <c r="O8" s="1571"/>
      <c r="P8" s="872">
        <f>IF(R17=1,"ERROR",S21)</f>
        <v>0</v>
      </c>
      <c r="R8" s="6"/>
      <c r="S8" s="13" t="s">
        <v>1597</v>
      </c>
      <c r="T8" s="1285" t="s">
        <v>211</v>
      </c>
      <c r="U8" s="1287"/>
      <c r="V8" s="1285" t="s">
        <v>194</v>
      </c>
      <c r="W8" s="1287"/>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3">
      <c r="B9" s="275" t="s">
        <v>195</v>
      </c>
      <c r="C9" s="708"/>
      <c r="D9" s="708"/>
      <c r="E9" s="948">
        <f>'H-Table'!R3</f>
        <v>0</v>
      </c>
      <c r="F9" s="948"/>
      <c r="G9" s="708"/>
      <c r="H9" s="708"/>
      <c r="I9" s="929">
        <f>IF(C9="",0,IF(OR(C9&lt;=0,G9&lt;=0),E9,IF(G9&lt;C9,0,'H-Table'!W3)))</f>
        <v>0</v>
      </c>
      <c r="J9" s="929"/>
      <c r="K9" s="1256" t="str">
        <f>IF(OR(C9="NA",G9="NA"),"",IF(AND(C9&lt;&gt;"",G9=""),"Enter contralateral or NA.",IF(AND(C9="",G9&lt;&gt;""),"Need data","")))</f>
        <v/>
      </c>
      <c r="L9" s="1256"/>
      <c r="M9" s="1256"/>
      <c r="N9" s="1256"/>
      <c r="O9" s="1256"/>
      <c r="P9" s="1010"/>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71" t="s">
        <v>2277</v>
      </c>
      <c r="Z9" s="773"/>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3">
      <c r="B10" s="275" t="s">
        <v>1939</v>
      </c>
      <c r="C10" s="708"/>
      <c r="D10" s="708"/>
      <c r="E10" s="948">
        <f>IF(AND($Y$20=1,$Z$20=1),"ERROR",'H-Table'!R4)</f>
        <v>0</v>
      </c>
      <c r="F10" s="948"/>
      <c r="G10" s="946" t="str">
        <f>IF(AND($Z$20=1,$Y$20=1),"Cannot rate ROM and ankylosis.","")</f>
        <v/>
      </c>
      <c r="H10" s="946"/>
      <c r="I10" s="946"/>
      <c r="J10" s="946"/>
      <c r="K10" s="946"/>
      <c r="L10" s="946"/>
      <c r="M10" s="946"/>
      <c r="N10" s="946"/>
      <c r="O10" s="946"/>
      <c r="P10" s="1010"/>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3">
      <c r="B11" s="275" t="s">
        <v>1940</v>
      </c>
      <c r="C11" s="708"/>
      <c r="D11" s="708"/>
      <c r="E11" s="948">
        <f>'H-Table'!R5</f>
        <v>0</v>
      </c>
      <c r="F11" s="948"/>
      <c r="G11" s="708"/>
      <c r="H11" s="708"/>
      <c r="I11" s="929">
        <f>IF(C11="",0,IF(OR(C11&lt;=0,G11&lt;=0),E11,IF(G11&lt;C11,0,'H-Table'!W5)))</f>
        <v>0</v>
      </c>
      <c r="J11" s="929"/>
      <c r="K11" s="1256" t="str">
        <f>IF(OR(C11="NA",G11="NA"),"",IF(AND(C11&lt;&gt;"",G11=""),"Enter contralateral or NA.",IF(AND(C11="",G11&lt;&gt;""),"Need data","")))</f>
        <v/>
      </c>
      <c r="L11" s="1256"/>
      <c r="M11" s="1256"/>
      <c r="N11" s="1256"/>
      <c r="O11" s="1256"/>
      <c r="P11" s="1010"/>
      <c r="R11" s="6"/>
      <c r="S11" s="13">
        <v>30</v>
      </c>
      <c r="T11" s="13" t="str">
        <f t="shared" si="0"/>
        <v/>
      </c>
      <c r="U11" s="13" t="str">
        <f>IF(OR(G11="",G11="NA"),"",IF(G11&gt;S11,S11,IF(G11&lt;0,0,G11)))</f>
        <v/>
      </c>
      <c r="V11" s="56" t="str">
        <f>IF(W11="","",ROUND(W11,0))</f>
        <v/>
      </c>
      <c r="W11" s="113" t="str">
        <f>IF(T11="","",IF(OR(U11="",U11=0,U11&lt;T11),T11,(T11*S11)/U11))</f>
        <v/>
      </c>
      <c r="X11" s="115">
        <f>MAX(E10,E12,E14,E16,E18,E20)</f>
        <v>0</v>
      </c>
      <c r="Y11" s="771" t="s">
        <v>2268</v>
      </c>
      <c r="Z11" s="773"/>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3">
      <c r="B12" s="275" t="s">
        <v>690</v>
      </c>
      <c r="C12" s="708"/>
      <c r="D12" s="708"/>
      <c r="E12" s="948">
        <f>IF(AND($Y$20=1,$Z$20=1),"ERROR",'H-Table'!R6)</f>
        <v>0</v>
      </c>
      <c r="F12" s="948"/>
      <c r="G12" s="946" t="str">
        <f>IF(AND($Z$20=1,$Y$20=1),"Cannot rate ROM and ankylosis.","")</f>
        <v/>
      </c>
      <c r="H12" s="946"/>
      <c r="I12" s="946"/>
      <c r="J12" s="946"/>
      <c r="K12" s="946"/>
      <c r="L12" s="946"/>
      <c r="M12" s="946"/>
      <c r="N12" s="946"/>
      <c r="O12" s="946"/>
      <c r="P12" s="1010"/>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3">
      <c r="B13" s="146" t="s">
        <v>691</v>
      </c>
      <c r="C13" s="708"/>
      <c r="D13" s="708"/>
      <c r="E13" s="948">
        <f>'H-Table'!R7</f>
        <v>0</v>
      </c>
      <c r="F13" s="948"/>
      <c r="G13" s="708"/>
      <c r="H13" s="708"/>
      <c r="I13" s="929">
        <f>IF(C13="",0,IF(OR(C13&lt;=0,G13&lt;=0),E13,IF(G13&lt;C13,0,'H-Table'!W7)))</f>
        <v>0</v>
      </c>
      <c r="J13" s="929"/>
      <c r="K13" s="1256" t="str">
        <f>IF(OR(C13="NA",G13="NA"),"",IF(AND(C13&lt;&gt;"",G13=""),"Enter contralateral or NA.",IF(AND(C13="",G13&lt;&gt;""),"Need data","")))</f>
        <v/>
      </c>
      <c r="L13" s="1256"/>
      <c r="M13" s="1256"/>
      <c r="N13" s="1256"/>
      <c r="O13" s="1256"/>
      <c r="P13" s="1010"/>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3">
      <c r="B14" s="146" t="s">
        <v>694</v>
      </c>
      <c r="C14" s="708"/>
      <c r="D14" s="708"/>
      <c r="E14" s="948">
        <f>IF(AND($Y$20=1,$Z$20=1),"ERROR",'H-Table'!R8)</f>
        <v>0</v>
      </c>
      <c r="F14" s="948"/>
      <c r="G14" s="946" t="str">
        <f>IF(AND($Z$20=1,$Y$20=1),"Cannot rate ROM and ankylosis.","")</f>
        <v/>
      </c>
      <c r="H14" s="946"/>
      <c r="I14" s="946"/>
      <c r="J14" s="946"/>
      <c r="K14" s="946"/>
      <c r="L14" s="946"/>
      <c r="M14" s="946"/>
      <c r="N14" s="946"/>
      <c r="O14" s="946"/>
      <c r="P14" s="1010"/>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3">
      <c r="B15" s="146" t="s">
        <v>695</v>
      </c>
      <c r="C15" s="708"/>
      <c r="D15" s="708"/>
      <c r="E15" s="948">
        <f>'H-Table'!R9</f>
        <v>0</v>
      </c>
      <c r="F15" s="948"/>
      <c r="G15" s="708"/>
      <c r="H15" s="708"/>
      <c r="I15" s="929">
        <f>IF(C15="",0,IF(OR(C15&lt;=0,G15&lt;=0),E15,IF(G15&lt;C15,0,'H-Table'!W9)))</f>
        <v>0</v>
      </c>
      <c r="J15" s="929"/>
      <c r="K15" s="1256" t="str">
        <f>IF(OR(C15="NA",G15="NA"),"",IF(AND(C15&lt;&gt;"",G15=""),"Enter contralateral or NA.",IF(AND(C15="",G15&lt;&gt;""),"Need data","")))</f>
        <v/>
      </c>
      <c r="L15" s="1256"/>
      <c r="M15" s="1256"/>
      <c r="N15" s="1256"/>
      <c r="O15" s="1256"/>
      <c r="P15" s="1010"/>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3">
      <c r="B16" s="146" t="s">
        <v>697</v>
      </c>
      <c r="C16" s="708"/>
      <c r="D16" s="708"/>
      <c r="E16" s="948">
        <f>IF(AND($Y$20=1,$Z$20=1),"ERROR",'H-Table'!R10)</f>
        <v>0</v>
      </c>
      <c r="F16" s="948"/>
      <c r="G16" s="946" t="str">
        <f>IF(AND($Z$20=1,$Y$20=1),"Cannot rate ROM and ankylosis.","")</f>
        <v/>
      </c>
      <c r="H16" s="946"/>
      <c r="I16" s="946"/>
      <c r="J16" s="946"/>
      <c r="K16" s="946"/>
      <c r="L16" s="946"/>
      <c r="M16" s="946"/>
      <c r="N16" s="946"/>
      <c r="O16" s="946"/>
      <c r="P16" s="1010"/>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3">
      <c r="B17" s="146" t="s">
        <v>699</v>
      </c>
      <c r="C17" s="708"/>
      <c r="D17" s="708"/>
      <c r="E17" s="948">
        <f>'H-Table'!R11</f>
        <v>0</v>
      </c>
      <c r="F17" s="948"/>
      <c r="G17" s="708"/>
      <c r="H17" s="708"/>
      <c r="I17" s="929">
        <f>IF(C17="",0,IF(OR(C17&lt;=0,G17&lt;=0),E17,IF(G17&lt;C17,0,'H-Table'!W11)))</f>
        <v>0</v>
      </c>
      <c r="J17" s="929"/>
      <c r="K17" s="1256" t="str">
        <f>IF(OR(C17="NA",G17="NA"),"",IF(AND(C17&lt;&gt;"",G17=""),"Enter contralateral or NA.",IF(AND(C17="",G17&lt;&gt;""),"Need data","")))</f>
        <v/>
      </c>
      <c r="L17" s="1256"/>
      <c r="M17" s="1256"/>
      <c r="N17" s="1256"/>
      <c r="O17" s="1256"/>
      <c r="P17" s="1010"/>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3">
      <c r="B18" s="128" t="s">
        <v>591</v>
      </c>
      <c r="C18" s="708"/>
      <c r="D18" s="708"/>
      <c r="E18" s="948">
        <f>IF(AND($Y$20=1,$Z$20=1),"ERROR",'H-Table'!R12)</f>
        <v>0</v>
      </c>
      <c r="F18" s="948"/>
      <c r="G18" s="946" t="str">
        <f>IF(AND($Z$20=1,$Y$20=1),"Cannot rate ROM and ankylosis.","")</f>
        <v/>
      </c>
      <c r="H18" s="946"/>
      <c r="I18" s="946"/>
      <c r="J18" s="946"/>
      <c r="K18" s="946"/>
      <c r="L18" s="946"/>
      <c r="M18" s="946"/>
      <c r="N18" s="946"/>
      <c r="O18" s="946"/>
      <c r="P18" s="1010"/>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3">
      <c r="B19" s="275" t="s">
        <v>592</v>
      </c>
      <c r="C19" s="708"/>
      <c r="D19" s="708"/>
      <c r="E19" s="948">
        <f>'H-Table'!R13</f>
        <v>0</v>
      </c>
      <c r="F19" s="948"/>
      <c r="G19" s="708"/>
      <c r="H19" s="708"/>
      <c r="I19" s="929">
        <f>IF(C19="",0,IF(OR(C19&lt;=0,G19&lt;=0),E19,IF(G19&lt;C19,0,'H-Table'!W13)))</f>
        <v>0</v>
      </c>
      <c r="J19" s="929"/>
      <c r="K19" s="1256" t="str">
        <f>IF(OR(C19="NA",G19="NA"),"",IF(AND(C19&lt;&gt;"",G19=""),"Enter contralateral or NA.",IF(AND(C19="",G19&lt;&gt;""),"Need data","")))</f>
        <v/>
      </c>
      <c r="L19" s="1256"/>
      <c r="M19" s="1256"/>
      <c r="N19" s="1256"/>
      <c r="O19" s="1256"/>
      <c r="P19" s="1010"/>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3">
      <c r="B20" s="275" t="s">
        <v>593</v>
      </c>
      <c r="C20" s="708"/>
      <c r="D20" s="708"/>
      <c r="E20" s="948">
        <f>IF(AND($Y$20=1,$Z$20=1),"ERROR",'H-Table'!R14)</f>
        <v>0</v>
      </c>
      <c r="F20" s="948"/>
      <c r="G20" s="946" t="str">
        <f>IF(AND($Z$20=1,$Y$20=1),"Cannot rate ROM and ankylosis.","")</f>
        <v/>
      </c>
      <c r="H20" s="946"/>
      <c r="I20" s="946"/>
      <c r="J20" s="946"/>
      <c r="K20" s="946"/>
      <c r="L20" s="946"/>
      <c r="M20" s="946"/>
      <c r="N20" s="946"/>
      <c r="O20" s="946"/>
      <c r="P20" s="1010"/>
      <c r="R20" s="6"/>
      <c r="S20" s="92">
        <v>50</v>
      </c>
      <c r="T20" s="13" t="str">
        <f t="shared" si="0"/>
        <v/>
      </c>
      <c r="U20" s="6"/>
      <c r="V20" s="5"/>
      <c r="W20" s="6"/>
      <c r="X20" s="6"/>
      <c r="Y20" s="612">
        <f>IF(OR(Y14=1,Y15=1,Y16=1,Y17=1,Y18=1,Y19=1),1,0)</f>
        <v>0</v>
      </c>
      <c r="Z20" s="612">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3">
      <c r="B21" s="1099" t="s">
        <v>158</v>
      </c>
      <c r="C21" s="1100"/>
      <c r="D21" s="1100"/>
      <c r="E21" s="1100"/>
      <c r="F21" s="1100"/>
      <c r="G21" s="1100"/>
      <c r="H21" s="1100"/>
      <c r="I21" s="1100"/>
      <c r="J21" s="1100"/>
      <c r="K21" s="1100"/>
      <c r="L21" s="1100"/>
      <c r="M21" s="1100"/>
      <c r="N21" s="1100"/>
      <c r="O21" s="1101"/>
      <c r="P21" s="996"/>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 x14ac:dyDescent="0.3">
      <c r="B22" s="1211"/>
      <c r="C22" s="1211"/>
      <c r="D22" s="1211"/>
      <c r="E22" s="1211"/>
      <c r="F22" s="1211"/>
      <c r="G22" s="1211"/>
      <c r="H22" s="1211"/>
      <c r="I22" s="1211"/>
      <c r="J22" s="1211"/>
      <c r="K22" s="1211"/>
      <c r="L22" s="1211"/>
      <c r="M22" s="1211"/>
      <c r="N22" s="1211"/>
      <c r="O22" s="1211"/>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3">
      <c r="B23" s="925" t="s">
        <v>159</v>
      </c>
      <c r="C23" s="925"/>
      <c r="D23" s="925"/>
      <c r="E23" s="925"/>
      <c r="F23" s="925"/>
      <c r="G23" s="925"/>
      <c r="H23" s="925"/>
      <c r="I23" s="925"/>
      <c r="J23" s="925"/>
      <c r="K23" s="925"/>
      <c r="L23" s="925"/>
      <c r="M23" s="925"/>
      <c r="N23" s="925"/>
      <c r="O23" s="925"/>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3">
      <c r="A24" s="15">
        <v>1E-4</v>
      </c>
      <c r="B24" s="971" t="s">
        <v>594</v>
      </c>
      <c r="C24" s="971"/>
      <c r="D24" s="971"/>
      <c r="E24" s="1536"/>
      <c r="F24" s="1536"/>
      <c r="G24" s="1536"/>
      <c r="H24" s="1536"/>
      <c r="I24" s="1536"/>
      <c r="J24" s="1536"/>
      <c r="K24" s="1570"/>
      <c r="L24" s="1570"/>
      <c r="M24" s="1570"/>
      <c r="N24" s="1570"/>
      <c r="O24" s="1570"/>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3">
      <c r="B25" s="971" t="s">
        <v>595</v>
      </c>
      <c r="C25" s="971"/>
      <c r="D25" s="971"/>
      <c r="E25" s="1536"/>
      <c r="F25" s="1536"/>
      <c r="G25" s="1536"/>
      <c r="H25" s="1536"/>
      <c r="I25" s="1536"/>
      <c r="J25" s="1536"/>
      <c r="K25" s="1570"/>
      <c r="L25" s="1570"/>
      <c r="M25" s="1570"/>
      <c r="N25" s="1570"/>
      <c r="O25" s="1570"/>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3">
      <c r="B26" s="1195"/>
      <c r="C26" s="1195"/>
      <c r="D26" s="1195"/>
      <c r="E26" s="1195"/>
      <c r="F26" s="1195"/>
      <c r="G26" s="1195"/>
      <c r="H26" s="1195"/>
      <c r="I26" s="1195"/>
      <c r="J26" s="1195"/>
      <c r="K26" s="1195"/>
      <c r="L26" s="1195"/>
      <c r="M26" s="1195"/>
      <c r="N26" s="1195"/>
      <c r="O26" s="1195"/>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3">
      <c r="B27" s="927" t="s">
        <v>596</v>
      </c>
      <c r="C27" s="925"/>
      <c r="D27" s="925"/>
      <c r="E27" s="925"/>
      <c r="F27" s="925"/>
      <c r="G27" s="925"/>
      <c r="H27" s="925"/>
      <c r="I27" s="925"/>
      <c r="J27" s="925"/>
      <c r="K27" s="925"/>
      <c r="L27" s="925"/>
      <c r="M27" s="925"/>
      <c r="N27" s="925"/>
      <c r="O27" s="925"/>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3">
      <c r="B28" s="776" t="s">
        <v>616</v>
      </c>
      <c r="C28" s="776"/>
      <c r="D28" s="776"/>
      <c r="E28" s="776"/>
      <c r="F28" s="776"/>
      <c r="G28" s="776"/>
      <c r="H28" s="776"/>
      <c r="I28" s="776"/>
      <c r="J28" s="776"/>
      <c r="K28" s="776"/>
      <c r="L28" s="776"/>
      <c r="M28" s="776"/>
      <c r="N28" s="776"/>
      <c r="O28" s="776"/>
      <c r="P28" s="992">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3">
      <c r="A29" s="15"/>
      <c r="B29" s="806" t="s">
        <v>948</v>
      </c>
      <c r="C29" s="806"/>
      <c r="D29" s="806"/>
      <c r="E29" s="806"/>
      <c r="F29" s="806"/>
      <c r="G29" s="806"/>
      <c r="H29" s="806"/>
      <c r="I29" s="806"/>
      <c r="J29" s="806"/>
      <c r="K29" s="1534"/>
      <c r="L29" s="1534"/>
      <c r="M29" s="1534"/>
      <c r="N29" s="1534"/>
      <c r="O29" s="1534"/>
      <c r="P29" s="1082"/>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 x14ac:dyDescent="0.3">
      <c r="B30" s="1212"/>
      <c r="C30" s="1212"/>
      <c r="D30" s="1212"/>
      <c r="E30" s="1212"/>
      <c r="F30" s="1212"/>
      <c r="G30" s="1212"/>
      <c r="H30" s="1212"/>
      <c r="I30" s="1212"/>
      <c r="J30" s="1212"/>
      <c r="K30" s="1212"/>
      <c r="L30" s="1212"/>
      <c r="M30" s="1212"/>
      <c r="N30" s="1212"/>
      <c r="O30" s="121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3">
      <c r="B31" s="1195"/>
      <c r="C31" s="1195"/>
      <c r="D31" s="1195"/>
      <c r="E31" s="1195"/>
      <c r="F31" s="1195"/>
      <c r="G31" s="1195"/>
      <c r="H31" s="1195"/>
      <c r="I31" s="1195"/>
      <c r="J31" s="1195"/>
      <c r="K31" s="1195"/>
      <c r="L31" s="1195"/>
      <c r="M31" s="1195"/>
      <c r="N31" s="1195"/>
      <c r="O31" s="1195"/>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3">
      <c r="B32" s="879" t="s">
        <v>1348</v>
      </c>
      <c r="C32" s="880"/>
      <c r="D32" s="880"/>
      <c r="E32" s="881"/>
      <c r="F32" s="922" t="s">
        <v>1524</v>
      </c>
      <c r="G32" s="926"/>
      <c r="H32" s="926"/>
      <c r="I32" s="926"/>
      <c r="J32" s="1528" t="str">
        <f>IF(AND(X33=0,X35=1),Y36,"")</f>
        <v/>
      </c>
      <c r="K32" s="1529"/>
      <c r="L32" s="1529"/>
      <c r="M32" s="1529"/>
      <c r="N32" s="1529"/>
      <c r="O32" s="1530"/>
      <c r="P32" s="1566">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3">
      <c r="B33" s="806" t="s">
        <v>1958</v>
      </c>
      <c r="C33" s="806"/>
      <c r="D33" s="770">
        <f>P8</f>
        <v>0</v>
      </c>
      <c r="E33" s="770"/>
      <c r="F33" s="874"/>
      <c r="G33" s="876"/>
      <c r="H33" s="1544">
        <f>IF(AND(S33&lt;0.01,S33&gt;0),0.01,ROUND(S33,2))</f>
        <v>0</v>
      </c>
      <c r="I33" s="1545"/>
      <c r="J33" s="1531"/>
      <c r="K33" s="1532"/>
      <c r="L33" s="1532"/>
      <c r="M33" s="1532"/>
      <c r="N33" s="1532"/>
      <c r="O33" s="1533"/>
      <c r="P33" s="1567"/>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3">
      <c r="B34" s="776" t="s">
        <v>1959</v>
      </c>
      <c r="C34" s="776"/>
      <c r="D34" s="770">
        <f>P24</f>
        <v>0</v>
      </c>
      <c r="E34" s="770"/>
      <c r="F34" s="1027" t="s">
        <v>1941</v>
      </c>
      <c r="G34" s="1027"/>
      <c r="H34" s="1564"/>
      <c r="I34" s="1565"/>
      <c r="J34" s="1531"/>
      <c r="K34" s="1532"/>
      <c r="L34" s="1532"/>
      <c r="M34" s="1532"/>
      <c r="N34" s="1532"/>
      <c r="O34" s="1533"/>
      <c r="P34" s="1567"/>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3">
      <c r="B35" s="806" t="s">
        <v>1960</v>
      </c>
      <c r="C35" s="806"/>
      <c r="D35" s="770">
        <f>P25</f>
        <v>0</v>
      </c>
      <c r="E35" s="770"/>
      <c r="F35" s="1027" t="s">
        <v>1941</v>
      </c>
      <c r="G35" s="1027"/>
      <c r="H35" s="1564"/>
      <c r="I35" s="1565"/>
      <c r="J35" s="1531"/>
      <c r="K35" s="1532"/>
      <c r="L35" s="1532"/>
      <c r="M35" s="1532"/>
      <c r="N35" s="1532"/>
      <c r="O35" s="1533"/>
      <c r="P35" s="1567"/>
      <c r="S35" s="146"/>
      <c r="T35" s="394">
        <f>D35</f>
        <v>0</v>
      </c>
      <c r="U35" s="84">
        <f>LARGE($T$33:$T$36,3)</f>
        <v>0</v>
      </c>
      <c r="V35" s="12">
        <f>W34+U36*(1-W34)</f>
        <v>0</v>
      </c>
      <c r="W35" s="52">
        <f>ROUND(V35,2)</f>
        <v>0</v>
      </c>
      <c r="X35" s="13">
        <f>IF(OR(F37&gt;0,F33&gt;0),1,0)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3">
      <c r="B36" s="804" t="s">
        <v>596</v>
      </c>
      <c r="C36" s="804"/>
      <c r="D36" s="1015">
        <f>P28</f>
        <v>0</v>
      </c>
      <c r="E36" s="1015"/>
      <c r="F36" s="1555"/>
      <c r="G36" s="1556"/>
      <c r="H36" s="1544">
        <f>IF(AND(S36&lt;0.01,S36&gt;0),0.01,ROUND(S36,2))</f>
        <v>0</v>
      </c>
      <c r="I36" s="1545"/>
      <c r="J36" s="625"/>
      <c r="K36" s="626"/>
      <c r="L36" s="626"/>
      <c r="M36" s="626"/>
      <c r="N36" s="626"/>
      <c r="O36" s="627"/>
      <c r="P36" s="1567"/>
      <c r="S36" s="207">
        <f>IF(F36&gt;0,D36*F36,0)</f>
        <v>0</v>
      </c>
      <c r="T36" s="370">
        <f>IF(H36&gt;0,H36,D36)</f>
        <v>0</v>
      </c>
      <c r="U36" s="84">
        <f>LARGE($T$33:$T$36,4)</f>
        <v>0</v>
      </c>
      <c r="V36" s="77"/>
      <c r="W36" s="109"/>
      <c r="X36" s="6"/>
      <c r="Y36" s="10" t="s">
        <v>2245</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3">
      <c r="B37" s="628"/>
      <c r="C37" s="629"/>
      <c r="D37" s="629"/>
      <c r="E37" s="629"/>
      <c r="F37" s="629"/>
      <c r="G37" s="629"/>
      <c r="H37" s="629"/>
      <c r="I37" s="629"/>
      <c r="J37" s="1568" t="s">
        <v>2248</v>
      </c>
      <c r="K37" s="1568"/>
      <c r="L37" s="1568"/>
      <c r="M37" s="1568"/>
      <c r="N37" s="1568"/>
      <c r="O37" s="1569"/>
      <c r="P37" s="1557"/>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35">
      <c r="B38" s="779" t="s">
        <v>947</v>
      </c>
      <c r="C38" s="779"/>
      <c r="D38" s="779"/>
      <c r="E38" s="779"/>
      <c r="F38" s="779"/>
      <c r="G38" s="779"/>
      <c r="H38" s="779"/>
      <c r="I38" s="779"/>
      <c r="J38" s="779"/>
      <c r="K38" s="779"/>
      <c r="L38" s="779"/>
      <c r="M38" s="779"/>
      <c r="N38" s="779"/>
      <c r="O38" s="779"/>
      <c r="P38" s="1049"/>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35">
      <c r="B39" s="247" t="s">
        <v>790</v>
      </c>
      <c r="C39" s="1336" t="str">
        <f>IF(V1&lt;&gt;"",V1,"")</f>
        <v>Go to PPD Worksheet</v>
      </c>
      <c r="D39" s="1336"/>
      <c r="E39" s="1336"/>
      <c r="F39" s="1336"/>
      <c r="G39" s="1336"/>
      <c r="H39" s="1336"/>
      <c r="I39" s="1527" t="str">
        <f>IF(U1&lt;&gt;"",U1,"")</f>
        <v/>
      </c>
      <c r="J39" s="1527"/>
      <c r="K39" s="1527"/>
      <c r="L39" s="1527"/>
      <c r="M39" s="1527"/>
      <c r="N39" s="1527"/>
      <c r="P39" s="162"/>
      <c r="R39" s="110"/>
      <c r="S39" s="77"/>
      <c r="T39" s="109"/>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35">
      <c r="B40" s="145"/>
      <c r="C40" s="145"/>
      <c r="D40" s="145"/>
      <c r="E40" s="8"/>
      <c r="F40" s="1"/>
      <c r="G40" s="1"/>
      <c r="H40" s="164"/>
      <c r="I40" s="164"/>
      <c r="J40" s="164"/>
      <c r="K40" s="164"/>
      <c r="L40" s="164"/>
      <c r="M40" s="164"/>
      <c r="N40" s="164"/>
      <c r="O40" s="164"/>
      <c r="P40" s="81"/>
      <c r="R40" s="33"/>
      <c r="S40" s="77"/>
      <c r="T40" s="109"/>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3">
      <c r="C41" s="9"/>
      <c r="D41" s="378"/>
      <c r="F41" s="9"/>
      <c r="G41" s="378"/>
      <c r="I41" s="9"/>
      <c r="J41" s="378"/>
      <c r="L41" s="9"/>
      <c r="M41" s="378"/>
      <c r="O41" s="9"/>
      <c r="P41" s="378"/>
      <c r="R41" s="5"/>
      <c r="S41" s="112"/>
      <c r="T41" s="5"/>
      <c r="U41" s="5"/>
      <c r="V41" s="112"/>
      <c r="W41" s="5"/>
      <c r="X41" s="5"/>
      <c r="Y41" s="112"/>
      <c r="Z41" s="5"/>
      <c r="AA41" s="5"/>
      <c r="AB41" s="112"/>
      <c r="AC41" s="5"/>
      <c r="AD41" s="5"/>
      <c r="AE41" s="112"/>
      <c r="AF41" s="5"/>
      <c r="AG41" s="5"/>
      <c r="AH41" s="112"/>
      <c r="AI41" s="5"/>
      <c r="AJ41" s="5"/>
      <c r="AK41" s="112"/>
      <c r="AL41" s="5"/>
      <c r="AM41" s="5"/>
      <c r="AN41" s="112"/>
      <c r="AO41" s="5"/>
      <c r="AP41" s="5"/>
      <c r="AQ41" s="112"/>
      <c r="AR41" s="5"/>
      <c r="AS41" s="5"/>
      <c r="AT41" s="112"/>
      <c r="AU41" s="5"/>
      <c r="AV41" s="5"/>
      <c r="AW41" s="112"/>
      <c r="AX41" s="5"/>
      <c r="AY41" s="5"/>
      <c r="AZ41" s="112"/>
      <c r="BA41" s="5"/>
      <c r="BB41" s="5"/>
      <c r="BC41" s="112"/>
      <c r="BD41" s="5"/>
      <c r="BE41" s="5"/>
      <c r="BF41" s="112"/>
      <c r="BG41" s="5"/>
      <c r="BH41" s="5"/>
      <c r="BI41" s="112"/>
      <c r="BJ41" s="5"/>
      <c r="BK41" s="5"/>
      <c r="BL41" s="112"/>
      <c r="BM41" s="5"/>
      <c r="BN41" s="5"/>
      <c r="BO41" s="112"/>
      <c r="BP41" s="5"/>
      <c r="BQ41" s="5"/>
      <c r="BR41" s="112"/>
      <c r="BS41" s="5"/>
      <c r="BT41" s="5"/>
      <c r="BU41" s="112"/>
      <c r="BV41" s="5"/>
      <c r="BW41" s="5"/>
      <c r="BX41" s="112"/>
      <c r="BY41" s="5"/>
      <c r="BZ41" s="5"/>
      <c r="CA41" s="112"/>
      <c r="CB41" s="5"/>
      <c r="CC41" s="5"/>
      <c r="CD41" s="112"/>
      <c r="CE41" s="5"/>
      <c r="CF41" s="5"/>
      <c r="CG41" s="112"/>
      <c r="CH41" s="5"/>
      <c r="CI41" s="5"/>
      <c r="CJ41" s="112"/>
      <c r="CK41" s="5"/>
      <c r="CL41" s="5"/>
      <c r="CM41" s="112"/>
      <c r="CN41" s="5"/>
      <c r="CO41" s="5"/>
      <c r="CP41" s="112"/>
      <c r="CQ41" s="5"/>
      <c r="CR41" s="5"/>
      <c r="CS41" s="112"/>
      <c r="CT41" s="5"/>
      <c r="CU41" s="5"/>
      <c r="CV41" s="112"/>
      <c r="CW41" s="5"/>
      <c r="CX41" s="5"/>
      <c r="CY41" s="112"/>
      <c r="CZ41" s="5"/>
      <c r="DA41" s="5"/>
      <c r="DB41" s="112"/>
      <c r="DC41" s="5"/>
      <c r="DD41" s="5"/>
      <c r="DE41" s="112"/>
      <c r="DF41" s="5"/>
      <c r="DG41" s="5"/>
      <c r="DH41" s="112"/>
      <c r="DI41" s="5"/>
      <c r="DJ41" s="5"/>
      <c r="DK41" s="112"/>
      <c r="DL41" s="5"/>
      <c r="DM41" s="5"/>
      <c r="DN41" s="112"/>
      <c r="DO41" s="5"/>
      <c r="DP41" s="5"/>
      <c r="DQ41" s="112"/>
      <c r="DR41" s="5"/>
      <c r="DS41" s="5"/>
      <c r="DT41" s="112"/>
      <c r="DU41" s="5"/>
      <c r="DV41" s="5"/>
      <c r="DW41" s="112"/>
      <c r="DX41" s="5"/>
      <c r="DY41" s="5"/>
      <c r="DZ41" s="112"/>
      <c r="EA41" s="5"/>
      <c r="EB41" s="5"/>
      <c r="EC41" s="112"/>
      <c r="ED41" s="5"/>
      <c r="EE41" s="5"/>
      <c r="EF41" s="112"/>
      <c r="EG41" s="5"/>
      <c r="EH41" s="5"/>
      <c r="EI41" s="112"/>
      <c r="EJ41" s="5"/>
      <c r="EK41" s="5"/>
      <c r="EL41" s="112"/>
      <c r="EM41" s="5"/>
      <c r="EN41" s="5"/>
      <c r="EO41" s="112"/>
      <c r="EP41" s="5"/>
      <c r="EQ41" s="5"/>
      <c r="ER41" s="112"/>
      <c r="ES41" s="5"/>
      <c r="ET41" s="5"/>
      <c r="EU41" s="112"/>
      <c r="EV41" s="5"/>
      <c r="EW41" s="5"/>
      <c r="EX41" s="112"/>
      <c r="EY41" s="5"/>
      <c r="EZ41" s="5"/>
      <c r="FA41" s="112"/>
      <c r="FB41" s="5"/>
      <c r="FC41" s="5"/>
      <c r="FD41" s="112"/>
      <c r="FE41" s="5"/>
      <c r="FF41" s="5"/>
      <c r="FG41" s="112"/>
      <c r="FH41" s="5"/>
      <c r="FI41" s="5"/>
      <c r="FJ41" s="112"/>
      <c r="FK41" s="5"/>
      <c r="FL41" s="5"/>
      <c r="FM41" s="112"/>
      <c r="FN41" s="5"/>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t="12.75" hidden="1" customHeight="1" x14ac:dyDescent="0.3">
      <c r="B42" s="927" t="s">
        <v>2267</v>
      </c>
      <c r="C42" s="927"/>
      <c r="F42" s="9"/>
      <c r="G42" s="378"/>
      <c r="I42" s="9"/>
      <c r="J42" s="378"/>
      <c r="L42" s="9"/>
      <c r="M42" s="378"/>
      <c r="O42" s="9"/>
      <c r="P42" s="378"/>
      <c r="R42" s="5"/>
      <c r="S42" s="112"/>
      <c r="T42" s="5"/>
      <c r="U42" s="5"/>
      <c r="V42" s="112"/>
      <c r="W42" s="5"/>
      <c r="X42" s="5"/>
      <c r="Y42" s="112"/>
      <c r="Z42" s="5"/>
      <c r="AA42" s="5"/>
      <c r="AB42" s="112"/>
      <c r="AC42" s="5"/>
      <c r="AD42" s="5"/>
      <c r="AE42" s="112"/>
      <c r="AF42" s="5"/>
      <c r="AG42" s="5"/>
      <c r="AH42" s="112"/>
      <c r="AI42" s="5"/>
      <c r="AJ42" s="5"/>
      <c r="AK42" s="112"/>
      <c r="AL42" s="5"/>
      <c r="AM42" s="5"/>
      <c r="AN42" s="112"/>
      <c r="AO42" s="5"/>
      <c r="AP42" s="5"/>
      <c r="AQ42" s="112"/>
      <c r="AR42" s="5"/>
      <c r="AS42" s="5"/>
      <c r="AT42" s="112"/>
      <c r="AU42" s="5"/>
      <c r="AV42" s="5"/>
      <c r="AW42" s="112"/>
      <c r="AX42" s="5"/>
      <c r="AY42" s="5"/>
      <c r="AZ42" s="112"/>
      <c r="BA42" s="5"/>
      <c r="BB42" s="5"/>
      <c r="BC42" s="112"/>
      <c r="BD42" s="5"/>
      <c r="BE42" s="5"/>
      <c r="BF42" s="112"/>
      <c r="BG42" s="5"/>
      <c r="BH42" s="5"/>
      <c r="BI42" s="112"/>
      <c r="BJ42" s="5"/>
      <c r="BK42" s="5"/>
      <c r="BL42" s="112"/>
      <c r="BM42" s="5"/>
      <c r="BN42" s="5"/>
      <c r="BO42" s="112"/>
      <c r="BP42" s="5"/>
      <c r="BQ42" s="5"/>
      <c r="BR42" s="112"/>
      <c r="BS42" s="5"/>
      <c r="BT42" s="5"/>
      <c r="BU42" s="112"/>
      <c r="BV42" s="5"/>
      <c r="BW42" s="5"/>
      <c r="BX42" s="112"/>
      <c r="BY42" s="5"/>
      <c r="BZ42" s="5"/>
      <c r="CA42" s="112"/>
      <c r="CB42" s="5"/>
      <c r="CC42" s="5"/>
      <c r="CD42" s="112"/>
      <c r="CE42" s="5"/>
      <c r="CF42" s="5"/>
      <c r="CG42" s="112"/>
      <c r="CH42" s="5"/>
      <c r="CI42" s="5"/>
      <c r="CJ42" s="112"/>
      <c r="CK42" s="5"/>
      <c r="CL42" s="5"/>
      <c r="CM42" s="112"/>
      <c r="CN42" s="5"/>
      <c r="CO42" s="5"/>
      <c r="CP42" s="112"/>
      <c r="CQ42" s="5"/>
      <c r="CR42" s="5"/>
      <c r="CS42" s="112"/>
      <c r="CT42" s="5"/>
      <c r="CU42" s="5"/>
      <c r="CV42" s="112"/>
      <c r="CW42" s="5"/>
      <c r="CX42" s="5"/>
      <c r="CY42" s="112"/>
      <c r="CZ42" s="5"/>
      <c r="DA42" s="5"/>
      <c r="DB42" s="112"/>
      <c r="DC42" s="5"/>
      <c r="DD42" s="5"/>
      <c r="DE42" s="112"/>
      <c r="DF42" s="5"/>
      <c r="DG42" s="5"/>
      <c r="DH42" s="112"/>
      <c r="DI42" s="5"/>
      <c r="DJ42" s="5"/>
      <c r="DK42" s="112"/>
      <c r="DL42" s="5"/>
      <c r="DM42" s="5"/>
      <c r="DN42" s="112"/>
      <c r="DO42" s="5"/>
      <c r="DP42" s="5"/>
      <c r="DQ42" s="112"/>
      <c r="DR42" s="5"/>
      <c r="DS42" s="5"/>
      <c r="DT42" s="112"/>
      <c r="DU42" s="5"/>
      <c r="DV42" s="5"/>
      <c r="DW42" s="112"/>
      <c r="DX42" s="5"/>
      <c r="DY42" s="5"/>
      <c r="DZ42" s="112"/>
      <c r="EA42" s="5"/>
      <c r="EB42" s="5"/>
      <c r="EC42" s="112"/>
      <c r="ED42" s="5"/>
      <c r="EE42" s="5"/>
      <c r="EF42" s="112"/>
      <c r="EG42" s="5"/>
      <c r="EH42" s="5"/>
      <c r="EI42" s="112"/>
      <c r="EJ42" s="5"/>
      <c r="EK42" s="5"/>
      <c r="EL42" s="112"/>
      <c r="EM42" s="5"/>
      <c r="EN42" s="5"/>
      <c r="EO42" s="112"/>
      <c r="EP42" s="5"/>
      <c r="EQ42" s="5"/>
      <c r="ER42" s="112"/>
      <c r="ES42" s="5"/>
      <c r="ET42" s="5"/>
      <c r="EU42" s="112"/>
      <c r="EV42" s="5"/>
      <c r="EW42" s="5"/>
      <c r="EX42" s="112"/>
      <c r="EY42" s="5"/>
      <c r="EZ42" s="5"/>
      <c r="FA42" s="112"/>
      <c r="FB42" s="5"/>
      <c r="FC42" s="5"/>
      <c r="FD42" s="112"/>
      <c r="FE42" s="5"/>
      <c r="FF42" s="5"/>
      <c r="FG42" s="112"/>
      <c r="FH42" s="5"/>
      <c r="FI42" s="5"/>
      <c r="FJ42" s="112"/>
      <c r="FK42" s="5"/>
      <c r="FL42" s="5"/>
      <c r="FM42" s="112"/>
      <c r="FN42" s="5"/>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3">
      <c r="B43" s="927"/>
      <c r="C43" s="927"/>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3">
      <c r="B44" s="927"/>
      <c r="C44" s="927"/>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3">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3">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3">
      <c r="B47" s="146" t="s">
        <v>1941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3">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3">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3">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3">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3">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3">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3">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3">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3">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3">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3">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3">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3">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3">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3">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3">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3">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3">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3">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3">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3">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3">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3">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3">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3">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3">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3">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3">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3">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3">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3">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3">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3">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3">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3">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3">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3">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3">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3">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3">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3">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3">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3">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3">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3">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3">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3">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3">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3">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3">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3">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3">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3">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3">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3">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3">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3">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3">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3">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3">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3">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3">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3">
      <c r="B110" s="146">
        <v>62</v>
      </c>
    </row>
    <row r="111" spans="2:69" hidden="1" x14ac:dyDescent="0.3">
      <c r="B111" s="146">
        <v>63</v>
      </c>
    </row>
    <row r="112" spans="2:69" hidden="1" x14ac:dyDescent="0.3">
      <c r="B112" s="146">
        <v>64</v>
      </c>
    </row>
    <row r="113" spans="2:2" hidden="1" x14ac:dyDescent="0.3">
      <c r="B113" s="146">
        <v>65</v>
      </c>
    </row>
    <row r="114" spans="2:2" hidden="1" x14ac:dyDescent="0.3">
      <c r="B114" s="146">
        <v>66</v>
      </c>
    </row>
    <row r="115" spans="2:2" hidden="1" x14ac:dyDescent="0.3">
      <c r="B115" s="146">
        <v>67</v>
      </c>
    </row>
    <row r="116" spans="2:2" hidden="1" x14ac:dyDescent="0.3">
      <c r="B116" s="146">
        <v>68</v>
      </c>
    </row>
    <row r="117" spans="2:2" hidden="1" x14ac:dyDescent="0.3">
      <c r="B117" s="146">
        <v>69</v>
      </c>
    </row>
    <row r="118" spans="2:2" hidden="1" x14ac:dyDescent="0.3">
      <c r="B118" s="146">
        <v>70</v>
      </c>
    </row>
    <row r="119" spans="2:2" hidden="1" x14ac:dyDescent="0.3">
      <c r="B119" s="146">
        <v>71</v>
      </c>
    </row>
    <row r="120" spans="2:2" hidden="1" x14ac:dyDescent="0.3">
      <c r="B120" s="146">
        <v>72</v>
      </c>
    </row>
    <row r="121" spans="2:2" hidden="1" x14ac:dyDescent="0.3">
      <c r="B121" s="146">
        <v>73</v>
      </c>
    </row>
    <row r="122" spans="2:2" hidden="1" x14ac:dyDescent="0.3">
      <c r="B122" s="146">
        <v>74</v>
      </c>
    </row>
    <row r="123" spans="2:2" hidden="1" x14ac:dyDescent="0.3">
      <c r="B123" s="146">
        <v>75</v>
      </c>
    </row>
    <row r="124" spans="2:2" hidden="1" x14ac:dyDescent="0.3">
      <c r="B124" s="146">
        <v>76</v>
      </c>
    </row>
    <row r="125" spans="2:2" hidden="1" x14ac:dyDescent="0.3">
      <c r="B125" s="146">
        <v>77</v>
      </c>
    </row>
    <row r="126" spans="2:2" hidden="1" x14ac:dyDescent="0.3">
      <c r="B126" s="146">
        <v>78</v>
      </c>
    </row>
    <row r="127" spans="2:2" hidden="1" x14ac:dyDescent="0.3">
      <c r="B127" s="146">
        <v>79</v>
      </c>
    </row>
    <row r="128" spans="2:2" hidden="1" x14ac:dyDescent="0.3">
      <c r="B128" s="146">
        <v>80</v>
      </c>
    </row>
    <row r="129" spans="2:2" hidden="1" x14ac:dyDescent="0.3">
      <c r="B129" s="146">
        <v>81</v>
      </c>
    </row>
    <row r="130" spans="2:2" hidden="1" x14ac:dyDescent="0.3">
      <c r="B130" s="146">
        <v>82</v>
      </c>
    </row>
    <row r="131" spans="2:2" hidden="1" x14ac:dyDescent="0.3">
      <c r="B131" s="146">
        <v>83</v>
      </c>
    </row>
    <row r="132" spans="2:2" hidden="1" x14ac:dyDescent="0.3">
      <c r="B132" s="146">
        <v>84</v>
      </c>
    </row>
    <row r="133" spans="2:2" hidden="1" x14ac:dyDescent="0.3">
      <c r="B133" s="146">
        <v>85</v>
      </c>
    </row>
    <row r="134" spans="2:2" hidden="1" x14ac:dyDescent="0.3">
      <c r="B134" s="146">
        <v>86</v>
      </c>
    </row>
    <row r="135" spans="2:2" hidden="1" x14ac:dyDescent="0.3">
      <c r="B135" s="146">
        <v>87</v>
      </c>
    </row>
    <row r="136" spans="2:2" hidden="1" x14ac:dyDescent="0.3">
      <c r="B136" s="146">
        <v>88</v>
      </c>
    </row>
    <row r="137" spans="2:2" hidden="1" x14ac:dyDescent="0.3">
      <c r="B137" s="146">
        <v>89</v>
      </c>
    </row>
    <row r="138" spans="2:2" hidden="1" x14ac:dyDescent="0.3">
      <c r="B138" s="146">
        <v>90</v>
      </c>
    </row>
    <row r="139" spans="2:2" hidden="1" x14ac:dyDescent="0.3">
      <c r="B139" s="146">
        <v>91</v>
      </c>
    </row>
    <row r="140" spans="2:2" hidden="1" x14ac:dyDescent="0.3">
      <c r="B140" s="146">
        <v>92</v>
      </c>
    </row>
    <row r="141" spans="2:2" hidden="1" x14ac:dyDescent="0.3">
      <c r="B141" s="146">
        <v>93</v>
      </c>
    </row>
    <row r="142" spans="2:2" hidden="1" x14ac:dyDescent="0.3">
      <c r="B142" s="146">
        <v>94</v>
      </c>
    </row>
    <row r="143" spans="2:2" hidden="1" x14ac:dyDescent="0.3">
      <c r="B143" s="146">
        <v>95</v>
      </c>
    </row>
    <row r="144" spans="2:2" hidden="1" x14ac:dyDescent="0.3">
      <c r="B144" s="146">
        <v>96</v>
      </c>
    </row>
    <row r="145" spans="2:2" hidden="1" x14ac:dyDescent="0.3">
      <c r="B145" s="146">
        <v>97</v>
      </c>
    </row>
    <row r="146" spans="2:2" hidden="1" x14ac:dyDescent="0.3">
      <c r="B146" s="146">
        <v>98</v>
      </c>
    </row>
    <row r="147" spans="2:2" hidden="1" x14ac:dyDescent="0.3">
      <c r="B147" s="146">
        <v>99</v>
      </c>
    </row>
    <row r="148" spans="2:2" hidden="1" x14ac:dyDescent="0.3">
      <c r="B148" s="146">
        <v>100</v>
      </c>
    </row>
    <row r="149" spans="2:2" hidden="1" x14ac:dyDescent="0.3"/>
  </sheetData>
  <sheetProtection sheet="1" objects="1" scenarios="1"/>
  <mergeCells count="106">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F33:G33">
    <cfRule type="cellIs" dxfId="1" priority="1" operator="greaterThanOrEqual">
      <formula>$X$33</formula>
    </cfRule>
  </conditionalFormatting>
  <dataValidations xWindow="548" yWindow="36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3 F36: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82550</xdr:colOff>
                    <xdr:row>28</xdr:row>
                    <xdr:rowOff>6350</xdr:rowOff>
                  </from>
                  <to>
                    <xdr:col>13</xdr:col>
                    <xdr:colOff>38100</xdr:colOff>
                    <xdr:row>28</xdr:row>
                    <xdr:rowOff>215900</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6350</xdr:rowOff>
                  </from>
                  <to>
                    <xdr:col>14</xdr:col>
                    <xdr:colOff>635000</xdr:colOff>
                    <xdr:row>28</xdr:row>
                    <xdr:rowOff>215900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 x14ac:dyDescent="0.3"/>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0.5429687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3">
      <c r="B1" s="10" t="s">
        <v>1732</v>
      </c>
      <c r="C1" s="747" t="str">
        <f>IF('Start here'!A6="","",'Start here'!A6)</f>
        <v/>
      </c>
      <c r="D1" s="751"/>
      <c r="E1" s="751"/>
      <c r="F1" s="751"/>
      <c r="G1" s="751"/>
      <c r="H1" s="751"/>
      <c r="I1" s="751"/>
      <c r="J1" s="752"/>
      <c r="K1" s="1"/>
      <c r="L1" s="747" t="str">
        <f>IF('Start here'!A7="","",'Start here'!A7)</f>
        <v/>
      </c>
      <c r="M1" s="751"/>
      <c r="N1" s="751"/>
      <c r="O1" s="751"/>
      <c r="P1" s="752"/>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3">
      <c r="B2" s="792"/>
      <c r="C2" s="792"/>
      <c r="D2" s="792"/>
      <c r="E2" s="792"/>
      <c r="F2" s="792"/>
      <c r="G2" s="792"/>
      <c r="H2" s="792"/>
      <c r="I2" s="792"/>
      <c r="J2" s="792"/>
      <c r="K2" s="792"/>
      <c r="L2" s="792"/>
      <c r="M2" s="792"/>
      <c r="N2" s="792"/>
      <c r="O2" s="792"/>
      <c r="P2" s="792"/>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4">
      <c r="B3" s="1572" t="s">
        <v>160</v>
      </c>
      <c r="C3" s="1573"/>
      <c r="D3" s="1573"/>
      <c r="E3" s="1573"/>
      <c r="F3" s="1573"/>
      <c r="G3" s="1573"/>
      <c r="H3" s="1573"/>
      <c r="I3" s="1573"/>
      <c r="J3" s="1573"/>
      <c r="K3" s="1573"/>
      <c r="L3" s="1573"/>
      <c r="M3" s="1573"/>
      <c r="N3" s="1573"/>
      <c r="O3" s="1573"/>
      <c r="P3" s="1573"/>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3">
      <c r="B4" s="1574" t="s">
        <v>2134</v>
      </c>
      <c r="C4" s="1575"/>
      <c r="D4" s="1575"/>
      <c r="E4" s="1575"/>
      <c r="F4" s="1575"/>
      <c r="G4" s="1575"/>
      <c r="H4" s="1575"/>
      <c r="I4" s="1575"/>
      <c r="J4" s="1575"/>
      <c r="K4" s="1575"/>
      <c r="L4" s="1575"/>
      <c r="M4" s="1575"/>
      <c r="N4" s="1575"/>
      <c r="O4" s="1575"/>
      <c r="P4" s="157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3">
      <c r="B5" s="767" t="s">
        <v>2135</v>
      </c>
      <c r="C5" s="768"/>
      <c r="D5" s="768"/>
      <c r="E5" s="768"/>
      <c r="F5" s="768"/>
      <c r="G5" s="768"/>
      <c r="H5" s="768"/>
      <c r="I5" s="768"/>
      <c r="J5" s="768"/>
      <c r="K5" s="768"/>
      <c r="L5" s="768"/>
      <c r="M5" s="768"/>
      <c r="N5" s="768"/>
      <c r="O5" s="768"/>
      <c r="P5" s="769"/>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3">
      <c r="B6" s="792"/>
      <c r="C6" s="792"/>
      <c r="D6" s="792"/>
      <c r="E6" s="792"/>
      <c r="F6" s="792"/>
      <c r="G6" s="792"/>
      <c r="H6" s="792"/>
      <c r="I6" s="792"/>
      <c r="J6" s="792"/>
      <c r="K6" s="792"/>
      <c r="L6" s="792"/>
      <c r="M6" s="792"/>
      <c r="N6" s="792"/>
      <c r="O6" s="792"/>
      <c r="P6" s="792"/>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3">
      <c r="B7" s="925" t="s">
        <v>1594</v>
      </c>
      <c r="C7" s="925"/>
      <c r="D7" s="925"/>
      <c r="E7" s="925"/>
      <c r="F7" s="925"/>
      <c r="G7" s="925"/>
      <c r="H7" s="925"/>
      <c r="I7" s="925"/>
      <c r="J7" s="925"/>
      <c r="K7" s="925"/>
      <c r="L7" s="925"/>
      <c r="M7" s="925"/>
      <c r="N7" s="925"/>
      <c r="O7" s="925"/>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3">
      <c r="B8" s="276"/>
      <c r="C8" s="925" t="s">
        <v>1595</v>
      </c>
      <c r="D8" s="925"/>
      <c r="E8" s="925"/>
      <c r="F8" s="925"/>
      <c r="G8" s="925" t="s">
        <v>1596</v>
      </c>
      <c r="H8" s="925"/>
      <c r="I8" s="925"/>
      <c r="J8" s="925"/>
      <c r="K8" s="1571"/>
      <c r="L8" s="1571"/>
      <c r="M8" s="1571"/>
      <c r="N8" s="1571"/>
      <c r="O8" s="1571"/>
      <c r="P8" s="1571"/>
      <c r="R8" s="6"/>
      <c r="S8" s="13" t="s">
        <v>1597</v>
      </c>
      <c r="T8" s="1285" t="s">
        <v>211</v>
      </c>
      <c r="U8" s="1287"/>
      <c r="V8" s="1285" t="s">
        <v>194</v>
      </c>
      <c r="W8" s="1287"/>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3">
      <c r="B9" s="275" t="s">
        <v>195</v>
      </c>
      <c r="C9" s="708"/>
      <c r="D9" s="708"/>
      <c r="E9" s="948">
        <f>'H-Table'!AB3</f>
        <v>0</v>
      </c>
      <c r="F9" s="948"/>
      <c r="G9" s="708"/>
      <c r="H9" s="708"/>
      <c r="I9" s="929">
        <f>IF(C9="",0,IF(OR(C9&lt;=0,G9&lt;=0),E9,IF(G9&lt;C9,0,'H-Table'!AG3)))</f>
        <v>0</v>
      </c>
      <c r="J9" s="929"/>
      <c r="K9" s="1256" t="str">
        <f>IF(OR(C9="NA",G9="NA"),"",IF(AND(C9&lt;&gt;"",G9=""),"Enter contralateral or NA.",IF(AND(C9="",G9&lt;&gt;""),"Need data","")))</f>
        <v/>
      </c>
      <c r="L9" s="1256"/>
      <c r="M9" s="1256"/>
      <c r="N9" s="1256"/>
      <c r="O9" s="1256"/>
      <c r="P9" s="1571"/>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71" t="s">
        <v>2277</v>
      </c>
      <c r="Z9" s="773"/>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3">
      <c r="B10" s="275" t="s">
        <v>1939</v>
      </c>
      <c r="C10" s="708"/>
      <c r="D10" s="708"/>
      <c r="E10" s="948">
        <f>IF(AND($Y$20=1,$Z$20=1),"ERROR",'H-Table'!AB4)</f>
        <v>0</v>
      </c>
      <c r="F10" s="948"/>
      <c r="G10" s="946" t="str">
        <f>IF(AND($Z$20=1,$Y$20=1),"Cannot rate ROM and ankylosis.","")</f>
        <v/>
      </c>
      <c r="H10" s="946"/>
      <c r="I10" s="946"/>
      <c r="J10" s="946"/>
      <c r="K10" s="946"/>
      <c r="L10" s="946"/>
      <c r="M10" s="946"/>
      <c r="N10" s="946"/>
      <c r="O10" s="946"/>
      <c r="P10" s="1571"/>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3">
      <c r="B11" s="275" t="s">
        <v>1940</v>
      </c>
      <c r="C11" s="708"/>
      <c r="D11" s="708"/>
      <c r="E11" s="948">
        <f>'H-Table'!AB5</f>
        <v>0</v>
      </c>
      <c r="F11" s="948"/>
      <c r="G11" s="708"/>
      <c r="H11" s="708"/>
      <c r="I11" s="929">
        <f>IF(C11="",0,IF(OR(C11&lt;=0,G11&lt;=0),E11,IF(G11&lt;C11,0,'H-Table'!AG5)))</f>
        <v>0</v>
      </c>
      <c r="J11" s="929"/>
      <c r="K11" s="1256" t="str">
        <f>IF(OR(C11="NA",G11="NA"),"",IF(AND(C11&lt;&gt;"",G11=""),"Enter contralateral or NA.",IF(AND(C11="",G11&lt;&gt;""),"Need data","")))</f>
        <v/>
      </c>
      <c r="L11" s="1256"/>
      <c r="M11" s="1256"/>
      <c r="N11" s="1256"/>
      <c r="O11" s="1256"/>
      <c r="P11" s="1571"/>
      <c r="R11" s="6"/>
      <c r="S11" s="13">
        <v>30</v>
      </c>
      <c r="T11" s="13" t="str">
        <f t="shared" si="0"/>
        <v/>
      </c>
      <c r="U11" s="13" t="str">
        <f>IF(OR(G11="",G11="NA"),"",IF(G11&gt;S11,S11,IF(G11&lt;0,0,G11)))</f>
        <v/>
      </c>
      <c r="V11" s="56" t="str">
        <f>IF(W11="","",ROUND(W11,0))</f>
        <v/>
      </c>
      <c r="W11" s="113" t="str">
        <f>IF(T11="","",IF(OR(U11="",U11=0,U11&lt;T11),T11,(T11*S11)/U11))</f>
        <v/>
      </c>
      <c r="X11" s="115">
        <f>MAX(E10,E12,E14,E16,E18,E20)</f>
        <v>0</v>
      </c>
      <c r="Y11" s="757" t="s">
        <v>2268</v>
      </c>
      <c r="Z11" s="759"/>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3">
      <c r="B12" s="275" t="s">
        <v>690</v>
      </c>
      <c r="C12" s="708"/>
      <c r="D12" s="708"/>
      <c r="E12" s="948">
        <f>IF(AND($Y$20=1,$Z$20=1),"ERROR",'H-Table'!AB6)</f>
        <v>0</v>
      </c>
      <c r="F12" s="948"/>
      <c r="G12" s="946" t="str">
        <f>IF(AND($Z$20=1,$Y$20=1),"Cannot rate ROM and ankylosis.","")</f>
        <v/>
      </c>
      <c r="H12" s="946"/>
      <c r="I12" s="946"/>
      <c r="J12" s="946"/>
      <c r="K12" s="946"/>
      <c r="L12" s="946"/>
      <c r="M12" s="946"/>
      <c r="N12" s="946"/>
      <c r="O12" s="946"/>
      <c r="P12" s="1571"/>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3">
      <c r="B13" s="146" t="s">
        <v>691</v>
      </c>
      <c r="C13" s="708"/>
      <c r="D13" s="708"/>
      <c r="E13" s="948">
        <f>'H-Table'!AB7</f>
        <v>0</v>
      </c>
      <c r="F13" s="948"/>
      <c r="G13" s="708"/>
      <c r="H13" s="708"/>
      <c r="I13" s="929">
        <f>IF(C13="",0,IF(OR(C13&lt;=0,G13&lt;=0),E13,IF(G13&lt;C13,0,'H-Table'!AG7)))</f>
        <v>0</v>
      </c>
      <c r="J13" s="929"/>
      <c r="K13" s="1256" t="str">
        <f>IF(OR(C13="NA",G13="NA"),"",IF(AND(C13&lt;&gt;"",G13=""),"Enter contralateral or NA.",IF(AND(C13="",G13&lt;&gt;""),"Need data","")))</f>
        <v/>
      </c>
      <c r="L13" s="1256"/>
      <c r="M13" s="1256"/>
      <c r="N13" s="1256"/>
      <c r="O13" s="1256"/>
      <c r="P13" s="1571"/>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3">
      <c r="B14" s="146" t="s">
        <v>694</v>
      </c>
      <c r="C14" s="708"/>
      <c r="D14" s="708"/>
      <c r="E14" s="948">
        <f>IF(AND($Y$20=1,$Z$20=1),"ERROR",'H-Table'!AB8)</f>
        <v>0</v>
      </c>
      <c r="F14" s="948"/>
      <c r="G14" s="946" t="str">
        <f>IF(AND($Z$20=1,$Y$20=1),"Cannot rate ROM and ankylosis.","")</f>
        <v/>
      </c>
      <c r="H14" s="946"/>
      <c r="I14" s="946"/>
      <c r="J14" s="946"/>
      <c r="K14" s="946"/>
      <c r="L14" s="946"/>
      <c r="M14" s="946"/>
      <c r="N14" s="946"/>
      <c r="O14" s="946"/>
      <c r="P14" s="1571"/>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3">
      <c r="B15" s="146" t="s">
        <v>695</v>
      </c>
      <c r="C15" s="708"/>
      <c r="D15" s="708"/>
      <c r="E15" s="948">
        <f>'H-Table'!AB9</f>
        <v>0</v>
      </c>
      <c r="F15" s="948"/>
      <c r="G15" s="708"/>
      <c r="H15" s="708"/>
      <c r="I15" s="929">
        <f>IF(C15="",0,IF(OR(C15&lt;=0,G15&lt;=0),E15,IF(G15&lt;C15,0,'H-Table'!AG9)))</f>
        <v>0</v>
      </c>
      <c r="J15" s="929"/>
      <c r="K15" s="1256" t="str">
        <f>IF(OR(C15="NA",G15="NA"),"",IF(AND(C15&lt;&gt;"",G15=""),"Enter contralateral or NA.",IF(AND(C15="",G15&lt;&gt;""),"Need data","")))</f>
        <v/>
      </c>
      <c r="L15" s="1256"/>
      <c r="M15" s="1256"/>
      <c r="N15" s="1256"/>
      <c r="O15" s="1256"/>
      <c r="P15" s="1571"/>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3">
      <c r="B16" s="146" t="s">
        <v>697</v>
      </c>
      <c r="C16" s="708"/>
      <c r="D16" s="708"/>
      <c r="E16" s="948">
        <f>IF(AND($Y$20=1,$Z$20=1),"ERROR",'H-Table'!AB10)</f>
        <v>0</v>
      </c>
      <c r="F16" s="948"/>
      <c r="G16" s="946" t="str">
        <f>IF(AND($Z$20=1,$Y$20=1),"Cannot rate ROM and ankylosis.","")</f>
        <v/>
      </c>
      <c r="H16" s="946"/>
      <c r="I16" s="946"/>
      <c r="J16" s="946"/>
      <c r="K16" s="946"/>
      <c r="L16" s="946"/>
      <c r="M16" s="946"/>
      <c r="N16" s="946"/>
      <c r="O16" s="946"/>
      <c r="P16" s="1571"/>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3">
      <c r="B17" s="146" t="s">
        <v>699</v>
      </c>
      <c r="C17" s="708"/>
      <c r="D17" s="708"/>
      <c r="E17" s="948">
        <f>'H-Table'!AB11</f>
        <v>0</v>
      </c>
      <c r="F17" s="948"/>
      <c r="G17" s="708"/>
      <c r="H17" s="708"/>
      <c r="I17" s="929">
        <f>IF(C17="",0,IF(OR(C17&lt;=0,G17&lt;=0),E17,IF(G17&lt;C17,0,'H-Table'!AG11)))</f>
        <v>0</v>
      </c>
      <c r="J17" s="929"/>
      <c r="K17" s="1256" t="str">
        <f>IF(OR(C17="NA",G17="NA"),"",IF(AND(C17&lt;&gt;"",G17=""),"Enter contralateral or NA.",IF(AND(C17="",G17&lt;&gt;""),"Need data","")))</f>
        <v/>
      </c>
      <c r="L17" s="1256"/>
      <c r="M17" s="1256"/>
      <c r="N17" s="1256"/>
      <c r="O17" s="1256"/>
      <c r="P17" s="1571"/>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3">
      <c r="B18" s="128" t="s">
        <v>591</v>
      </c>
      <c r="C18" s="708"/>
      <c r="D18" s="708"/>
      <c r="E18" s="948">
        <f>IF(AND($Y$20=1,$Z$20=1),"ERROR",'H-Table'!AB12)</f>
        <v>0</v>
      </c>
      <c r="F18" s="948"/>
      <c r="G18" s="946" t="str">
        <f>IF(AND($Z$20=1,$Y$20=1),"Cannot rate ROM and ankylosis.","")</f>
        <v/>
      </c>
      <c r="H18" s="946"/>
      <c r="I18" s="946"/>
      <c r="J18" s="946"/>
      <c r="K18" s="946"/>
      <c r="L18" s="946"/>
      <c r="M18" s="946"/>
      <c r="N18" s="946"/>
      <c r="O18" s="946"/>
      <c r="P18" s="1571"/>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3">
      <c r="B19" s="275" t="s">
        <v>592</v>
      </c>
      <c r="C19" s="708"/>
      <c r="D19" s="708"/>
      <c r="E19" s="948">
        <f>'H-Table'!AB13</f>
        <v>0</v>
      </c>
      <c r="F19" s="948"/>
      <c r="G19" s="708"/>
      <c r="H19" s="708"/>
      <c r="I19" s="929">
        <f>IF(C19="",0,IF(OR(C19&lt;=0,G19&lt;=0),E19,IF(G19&lt;C19,0,'H-Table'!AG13)))</f>
        <v>0</v>
      </c>
      <c r="J19" s="929"/>
      <c r="K19" s="1256" t="str">
        <f>IF(OR(C19="NA",G19="NA"),"",IF(AND(C19&lt;&gt;"",G19=""),"Enter contralateral or NA.",IF(AND(C19="",G19&lt;&gt;""),"Need data","")))</f>
        <v/>
      </c>
      <c r="L19" s="1256"/>
      <c r="M19" s="1256"/>
      <c r="N19" s="1256"/>
      <c r="O19" s="1256"/>
      <c r="P19" s="1571"/>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3">
      <c r="B20" s="275" t="s">
        <v>593</v>
      </c>
      <c r="C20" s="708"/>
      <c r="D20" s="708"/>
      <c r="E20" s="948">
        <f>IF(AND($Y$20=1,$Z$20=1),"ERROR",'H-Table'!AB14)</f>
        <v>0</v>
      </c>
      <c r="F20" s="948"/>
      <c r="G20" s="946" t="str">
        <f>IF(AND($Z$20=1,$Y$20=1),"Cannot rate ROM and ankylosis.","")</f>
        <v/>
      </c>
      <c r="H20" s="946"/>
      <c r="I20" s="946"/>
      <c r="J20" s="946"/>
      <c r="K20" s="946"/>
      <c r="L20" s="946"/>
      <c r="M20" s="946"/>
      <c r="N20" s="946"/>
      <c r="O20" s="946"/>
      <c r="P20" s="1571"/>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3">
      <c r="B21" s="1099" t="s">
        <v>161</v>
      </c>
      <c r="C21" s="1185"/>
      <c r="D21" s="1185"/>
      <c r="E21" s="1185"/>
      <c r="F21" s="1185"/>
      <c r="G21" s="1185"/>
      <c r="H21" s="1185"/>
      <c r="I21" s="1185"/>
      <c r="J21" s="1185"/>
      <c r="K21" s="1185"/>
      <c r="L21" s="1185"/>
      <c r="M21" s="1185"/>
      <c r="N21" s="1185"/>
      <c r="O21" s="1186"/>
      <c r="P21" s="248">
        <f>IF(R17=1,"ERROR",S21)</f>
        <v>0</v>
      </c>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 x14ac:dyDescent="0.3">
      <c r="B22" s="1211"/>
      <c r="C22" s="1211"/>
      <c r="D22" s="1211"/>
      <c r="E22" s="1211"/>
      <c r="F22" s="1211"/>
      <c r="G22" s="1211"/>
      <c r="H22" s="1211"/>
      <c r="I22" s="1211"/>
      <c r="J22" s="1211"/>
      <c r="K22" s="1211"/>
      <c r="L22" s="1211"/>
      <c r="M22" s="1211"/>
      <c r="N22" s="1211"/>
      <c r="O22" s="1211"/>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3">
      <c r="B23" s="925" t="s">
        <v>162</v>
      </c>
      <c r="C23" s="925"/>
      <c r="D23" s="925"/>
      <c r="E23" s="925"/>
      <c r="F23" s="925"/>
      <c r="G23" s="925"/>
      <c r="H23" s="925"/>
      <c r="I23" s="925"/>
      <c r="J23" s="925"/>
      <c r="K23" s="925"/>
      <c r="L23" s="925"/>
      <c r="M23" s="925"/>
      <c r="N23" s="925"/>
      <c r="O23" s="925"/>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3">
      <c r="A24" s="15">
        <v>1E-4</v>
      </c>
      <c r="B24" s="971" t="s">
        <v>594</v>
      </c>
      <c r="C24" s="971"/>
      <c r="D24" s="971"/>
      <c r="E24" s="1536"/>
      <c r="F24" s="1536"/>
      <c r="G24" s="1536"/>
      <c r="H24" s="1536"/>
      <c r="I24" s="1536"/>
      <c r="J24" s="1536"/>
      <c r="K24" s="1570"/>
      <c r="L24" s="1570"/>
      <c r="M24" s="1570"/>
      <c r="N24" s="1570"/>
      <c r="O24" s="1570"/>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3">
      <c r="B25" s="971" t="s">
        <v>595</v>
      </c>
      <c r="C25" s="971"/>
      <c r="D25" s="971"/>
      <c r="E25" s="1536"/>
      <c r="F25" s="1536"/>
      <c r="G25" s="1536"/>
      <c r="H25" s="1536"/>
      <c r="I25" s="1536"/>
      <c r="J25" s="1536"/>
      <c r="K25" s="1570"/>
      <c r="L25" s="1570"/>
      <c r="M25" s="1570"/>
      <c r="N25" s="1570"/>
      <c r="O25" s="1570"/>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3">
      <c r="B26" s="1195"/>
      <c r="C26" s="1195"/>
      <c r="D26" s="1195"/>
      <c r="E26" s="1195"/>
      <c r="F26" s="1195"/>
      <c r="G26" s="1195"/>
      <c r="H26" s="1195"/>
      <c r="I26" s="1195"/>
      <c r="J26" s="1195"/>
      <c r="K26" s="1195"/>
      <c r="L26" s="1195"/>
      <c r="M26" s="1195"/>
      <c r="N26" s="1195"/>
      <c r="O26" s="1195"/>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3">
      <c r="B27" s="927" t="s">
        <v>596</v>
      </c>
      <c r="C27" s="925"/>
      <c r="D27" s="925"/>
      <c r="E27" s="925"/>
      <c r="F27" s="925"/>
      <c r="G27" s="925"/>
      <c r="H27" s="925"/>
      <c r="I27" s="925"/>
      <c r="J27" s="925"/>
      <c r="K27" s="925"/>
      <c r="L27" s="925"/>
      <c r="M27" s="925"/>
      <c r="N27" s="925"/>
      <c r="O27" s="925"/>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3">
      <c r="B28" s="776" t="s">
        <v>616</v>
      </c>
      <c r="C28" s="776"/>
      <c r="D28" s="776"/>
      <c r="E28" s="776"/>
      <c r="F28" s="776"/>
      <c r="G28" s="776"/>
      <c r="H28" s="776"/>
      <c r="I28" s="776"/>
      <c r="J28" s="776"/>
      <c r="K28" s="776"/>
      <c r="L28" s="776"/>
      <c r="M28" s="776"/>
      <c r="N28" s="776"/>
      <c r="O28" s="776"/>
      <c r="P28" s="992">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3">
      <c r="A29" s="15"/>
      <c r="B29" s="806" t="s">
        <v>948</v>
      </c>
      <c r="C29" s="806"/>
      <c r="D29" s="806"/>
      <c r="E29" s="806"/>
      <c r="F29" s="806"/>
      <c r="G29" s="806"/>
      <c r="H29" s="806"/>
      <c r="I29" s="806"/>
      <c r="J29" s="806"/>
      <c r="K29" s="1534"/>
      <c r="L29" s="1534"/>
      <c r="M29" s="1534"/>
      <c r="N29" s="1534"/>
      <c r="O29" s="1534"/>
      <c r="P29" s="1082"/>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 x14ac:dyDescent="0.3">
      <c r="B30" s="1212"/>
      <c r="C30" s="1212"/>
      <c r="D30" s="1212"/>
      <c r="E30" s="1212"/>
      <c r="F30" s="1212"/>
      <c r="G30" s="1212"/>
      <c r="H30" s="1212"/>
      <c r="I30" s="1212"/>
      <c r="J30" s="1212"/>
      <c r="K30" s="1212"/>
      <c r="L30" s="1212"/>
      <c r="M30" s="1212"/>
      <c r="N30" s="1212"/>
      <c r="O30" s="121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3">
      <c r="B31" s="1195"/>
      <c r="C31" s="1195"/>
      <c r="D31" s="1195"/>
      <c r="E31" s="1195"/>
      <c r="F31" s="1195"/>
      <c r="G31" s="1195"/>
      <c r="H31" s="1195"/>
      <c r="I31" s="1195"/>
      <c r="J31" s="1195"/>
      <c r="K31" s="1195"/>
      <c r="L31" s="1195"/>
      <c r="M31" s="1195"/>
      <c r="N31" s="1195"/>
      <c r="O31" s="1195"/>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3">
      <c r="B32" s="879" t="s">
        <v>1349</v>
      </c>
      <c r="C32" s="880"/>
      <c r="D32" s="880"/>
      <c r="E32" s="881"/>
      <c r="F32" s="922" t="s">
        <v>1524</v>
      </c>
      <c r="G32" s="926"/>
      <c r="H32" s="926"/>
      <c r="I32" s="926"/>
      <c r="J32" s="1528" t="str">
        <f>IF(AND(X33=0,X35=1),Y36,"")</f>
        <v/>
      </c>
      <c r="K32" s="1529"/>
      <c r="L32" s="1529"/>
      <c r="M32" s="1529"/>
      <c r="N32" s="1529"/>
      <c r="O32" s="1530"/>
      <c r="P32" s="1566">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3">
      <c r="B33" s="757" t="s">
        <v>1958</v>
      </c>
      <c r="C33" s="759"/>
      <c r="D33" s="770">
        <f>P21</f>
        <v>0</v>
      </c>
      <c r="E33" s="770"/>
      <c r="F33" s="874"/>
      <c r="G33" s="876"/>
      <c r="H33" s="1544">
        <f>IF(AND(S33&lt;0.01,S33&gt;0),0.01,ROUND(S33,2))</f>
        <v>0</v>
      </c>
      <c r="I33" s="1545"/>
      <c r="J33" s="1531"/>
      <c r="K33" s="1532"/>
      <c r="L33" s="1532"/>
      <c r="M33" s="1532"/>
      <c r="N33" s="1532"/>
      <c r="O33" s="1533"/>
      <c r="P33" s="1567"/>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3">
      <c r="B34" s="771" t="s">
        <v>1959</v>
      </c>
      <c r="C34" s="773"/>
      <c r="D34" s="770">
        <f>P24</f>
        <v>0</v>
      </c>
      <c r="E34" s="770"/>
      <c r="F34" s="1027" t="s">
        <v>1941</v>
      </c>
      <c r="G34" s="1027"/>
      <c r="H34" s="1564"/>
      <c r="I34" s="1565"/>
      <c r="J34" s="1531"/>
      <c r="K34" s="1532"/>
      <c r="L34" s="1532"/>
      <c r="M34" s="1532"/>
      <c r="N34" s="1532"/>
      <c r="O34" s="1533"/>
      <c r="P34" s="1567"/>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3">
      <c r="B35" s="757" t="s">
        <v>1960</v>
      </c>
      <c r="C35" s="759"/>
      <c r="D35" s="770">
        <f>P25</f>
        <v>0</v>
      </c>
      <c r="E35" s="770"/>
      <c r="F35" s="1027" t="s">
        <v>1941</v>
      </c>
      <c r="G35" s="1027"/>
      <c r="H35" s="1564"/>
      <c r="I35" s="1565"/>
      <c r="J35" s="1531"/>
      <c r="K35" s="1532"/>
      <c r="L35" s="1532"/>
      <c r="M35" s="1532"/>
      <c r="N35" s="1532"/>
      <c r="O35" s="1533"/>
      <c r="P35" s="1567"/>
      <c r="S35" s="146"/>
      <c r="T35" s="394">
        <f>D35</f>
        <v>0</v>
      </c>
      <c r="U35" s="84">
        <f>LARGE($T$33:$T$36,3)</f>
        <v>0</v>
      </c>
      <c r="V35" s="12">
        <f>W34+U36*(1-W34)</f>
        <v>0</v>
      </c>
      <c r="W35" s="52">
        <f>ROUND(V35,2)</f>
        <v>0</v>
      </c>
      <c r="X35" s="13">
        <f>IF(F33&gt;0,1,0)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3">
      <c r="B36" s="757" t="s">
        <v>596</v>
      </c>
      <c r="C36" s="759"/>
      <c r="D36" s="770">
        <f>P28</f>
        <v>0</v>
      </c>
      <c r="E36" s="770"/>
      <c r="F36" s="874"/>
      <c r="G36" s="876"/>
      <c r="H36" s="1544">
        <f>IF(AND(S36&lt;0.01,S36&gt;0),0.01,ROUND(S36,2))</f>
        <v>0</v>
      </c>
      <c r="I36" s="1545"/>
      <c r="J36" s="625"/>
      <c r="K36" s="626"/>
      <c r="L36" s="626"/>
      <c r="M36" s="626"/>
      <c r="N36" s="626"/>
      <c r="O36" s="627"/>
      <c r="P36" s="1567"/>
      <c r="S36" s="207">
        <f>IF(F36&gt;0,D36*F36,0)</f>
        <v>0</v>
      </c>
      <c r="T36" s="370">
        <f>IF(H36&gt;0,H36,D36)</f>
        <v>0</v>
      </c>
      <c r="U36" s="84">
        <f>LARGE($T$33:$T$36,4)</f>
        <v>0</v>
      </c>
      <c r="V36" s="77"/>
      <c r="W36" s="109"/>
      <c r="X36" s="6"/>
      <c r="Y36" s="10" t="s">
        <v>640</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3">
      <c r="B37" s="1565"/>
      <c r="C37" s="1565"/>
      <c r="D37" s="1565"/>
      <c r="E37" s="1565"/>
      <c r="F37" s="1565"/>
      <c r="G37" s="1565"/>
      <c r="H37" s="1565"/>
      <c r="I37" s="1580"/>
      <c r="J37" s="1577" t="s">
        <v>2247</v>
      </c>
      <c r="K37" s="1578"/>
      <c r="L37" s="1578"/>
      <c r="M37" s="1578"/>
      <c r="N37" s="1578"/>
      <c r="O37" s="1579"/>
      <c r="P37" s="1557"/>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35">
      <c r="B38" s="1049" t="s">
        <v>947</v>
      </c>
      <c r="C38" s="1049"/>
      <c r="D38" s="1049"/>
      <c r="E38" s="1049"/>
      <c r="F38" s="1049"/>
      <c r="G38" s="1049"/>
      <c r="H38" s="1049"/>
      <c r="I38" s="1049"/>
      <c r="J38" s="1049"/>
      <c r="K38" s="1049"/>
      <c r="L38" s="1049"/>
      <c r="M38" s="1049"/>
      <c r="N38" s="1049"/>
      <c r="O38" s="1049"/>
      <c r="P38" s="1049"/>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35">
      <c r="B39" s="247" t="s">
        <v>790</v>
      </c>
      <c r="C39" s="1336" t="str">
        <f>IF(V1&lt;&gt;"",V1,"")</f>
        <v>Go to PPD Worksheet</v>
      </c>
      <c r="D39" s="1336"/>
      <c r="E39" s="1336"/>
      <c r="F39" s="1336"/>
      <c r="G39" s="1336"/>
      <c r="H39" s="1336"/>
      <c r="I39" s="1527" t="str">
        <f>IF(U1&lt;&gt;"",U1,"")</f>
        <v/>
      </c>
      <c r="J39" s="1527"/>
      <c r="K39" s="1527"/>
      <c r="L39" s="1527"/>
      <c r="M39" s="1527"/>
      <c r="N39" s="1527"/>
      <c r="P39" s="162"/>
      <c r="R39" s="17"/>
      <c r="S39" s="237"/>
      <c r="T39" s="7"/>
    </row>
    <row r="40" spans="2:241" ht="15.75" customHeight="1" x14ac:dyDescent="0.35">
      <c r="B40" s="145"/>
      <c r="C40" s="145"/>
      <c r="D40" s="145"/>
      <c r="E40" s="8"/>
      <c r="F40" s="1"/>
      <c r="G40" s="1"/>
      <c r="H40" s="164"/>
      <c r="I40" s="164"/>
      <c r="J40" s="164"/>
      <c r="K40" s="164"/>
      <c r="L40" s="164"/>
      <c r="M40" s="164"/>
      <c r="N40" s="164"/>
      <c r="O40" s="164"/>
      <c r="P40" s="81"/>
      <c r="R40" s="151"/>
      <c r="S40" s="237"/>
      <c r="T40" s="7"/>
    </row>
    <row r="41" spans="2:241" s="171" customFormat="1" ht="12.75" hidden="1" customHeight="1" x14ac:dyDescent="0.3">
      <c r="C41" s="9"/>
      <c r="D41" s="378"/>
      <c r="F41" s="9"/>
      <c r="G41" s="378"/>
      <c r="I41" s="9"/>
      <c r="J41" s="378"/>
      <c r="L41" s="9"/>
      <c r="M41" s="378"/>
      <c r="O41" s="9"/>
      <c r="P41" s="378"/>
      <c r="R41" s="9"/>
      <c r="S41" s="378"/>
      <c r="U41" s="9"/>
      <c r="V41" s="378"/>
      <c r="X41" s="9"/>
      <c r="Y41" s="378"/>
      <c r="AA41" s="9"/>
      <c r="AB41" s="378"/>
      <c r="AD41" s="9"/>
      <c r="AE41" s="378"/>
      <c r="AG41" s="9"/>
      <c r="AH41" s="378"/>
      <c r="AJ41" s="9"/>
      <c r="AK41" s="378"/>
      <c r="AM41" s="9"/>
      <c r="AN41" s="378"/>
      <c r="AP41" s="9"/>
      <c r="AQ41" s="378"/>
      <c r="AS41" s="9"/>
      <c r="AT41" s="378"/>
      <c r="AV41" s="9"/>
      <c r="AW41" s="378"/>
      <c r="AY41" s="9"/>
      <c r="AZ41" s="378"/>
      <c r="BB41" s="9"/>
      <c r="BC41" s="378"/>
      <c r="BE41" s="9"/>
      <c r="BF41" s="378"/>
      <c r="BH41" s="9"/>
      <c r="BI41" s="378"/>
      <c r="BK41" s="9"/>
      <c r="BL41" s="378"/>
      <c r="BN41" s="9"/>
      <c r="BO41" s="378"/>
      <c r="BQ41" s="9"/>
      <c r="BR41" s="378"/>
      <c r="BT41" s="9"/>
      <c r="BU41" s="378"/>
      <c r="BW41" s="9"/>
      <c r="BX41" s="378"/>
      <c r="BZ41" s="9"/>
      <c r="CA41" s="378"/>
      <c r="CC41" s="9"/>
      <c r="CD41" s="378"/>
      <c r="CF41" s="9"/>
      <c r="CG41" s="378"/>
      <c r="CI41" s="9"/>
      <c r="CJ41" s="378"/>
      <c r="CL41" s="9"/>
      <c r="CM41" s="378"/>
      <c r="CO41" s="9"/>
      <c r="CP41" s="378"/>
      <c r="CR41" s="9"/>
      <c r="CS41" s="378"/>
      <c r="CU41" s="9"/>
      <c r="CV41" s="378"/>
      <c r="CX41" s="9"/>
      <c r="CY41" s="378"/>
      <c r="DA41" s="9"/>
      <c r="DB41" s="378"/>
      <c r="DD41" s="9"/>
      <c r="DE41" s="378"/>
      <c r="DG41" s="9"/>
      <c r="DH41" s="378"/>
      <c r="DJ41" s="9"/>
      <c r="DK41" s="378"/>
      <c r="DM41" s="9"/>
      <c r="DN41" s="378"/>
      <c r="DP41" s="9"/>
      <c r="DQ41" s="378"/>
      <c r="DS41" s="9"/>
      <c r="DT41" s="378"/>
      <c r="DV41" s="9"/>
      <c r="DW41" s="378"/>
      <c r="DY41" s="9"/>
      <c r="DZ41" s="378"/>
      <c r="EB41" s="9"/>
      <c r="EC41" s="378"/>
      <c r="EE41" s="9"/>
      <c r="EF41" s="378"/>
      <c r="EH41" s="9"/>
      <c r="EI41" s="378"/>
      <c r="EK41" s="9"/>
      <c r="EL41" s="378"/>
      <c r="EN41" s="9"/>
      <c r="EO41" s="378"/>
      <c r="EQ41" s="9"/>
      <c r="ER41" s="378"/>
      <c r="ET41" s="9"/>
      <c r="EU41" s="378"/>
      <c r="EW41" s="9"/>
      <c r="EX41" s="378"/>
      <c r="EZ41" s="9"/>
      <c r="FA41" s="378"/>
      <c r="FC41" s="9"/>
      <c r="FD41" s="378"/>
      <c r="FF41" s="9"/>
      <c r="FG41" s="378"/>
      <c r="FI41" s="9"/>
      <c r="FJ41" s="378"/>
      <c r="FL41" s="9"/>
      <c r="FM41" s="378"/>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idden="1" x14ac:dyDescent="0.3">
      <c r="B42" s="927" t="s">
        <v>2267</v>
      </c>
      <c r="C42" s="927"/>
      <c r="F42" s="9"/>
      <c r="G42" s="378"/>
      <c r="I42" s="9"/>
      <c r="J42" s="378"/>
      <c r="L42" s="9"/>
      <c r="M42" s="378"/>
      <c r="O42" s="9"/>
      <c r="P42" s="378"/>
      <c r="R42" s="9"/>
      <c r="S42" s="378"/>
      <c r="U42" s="9"/>
      <c r="V42" s="378"/>
      <c r="X42" s="9"/>
      <c r="Y42" s="378"/>
      <c r="AA42" s="9"/>
      <c r="AB42" s="378"/>
      <c r="AD42" s="9"/>
      <c r="AE42" s="378"/>
      <c r="AG42" s="9"/>
      <c r="AH42" s="378"/>
      <c r="AJ42" s="9"/>
      <c r="AK42" s="378"/>
      <c r="AM42" s="9"/>
      <c r="AN42" s="378"/>
      <c r="AP42" s="9"/>
      <c r="AQ42" s="378"/>
      <c r="AS42" s="9"/>
      <c r="AT42" s="378"/>
      <c r="AV42" s="9"/>
      <c r="AW42" s="378"/>
      <c r="AY42" s="9"/>
      <c r="AZ42" s="378"/>
      <c r="BB42" s="9"/>
      <c r="BC42" s="378"/>
      <c r="BE42" s="9"/>
      <c r="BF42" s="378"/>
      <c r="BH42" s="9"/>
      <c r="BI42" s="378"/>
      <c r="BK42" s="9"/>
      <c r="BL42" s="378"/>
      <c r="BN42" s="9"/>
      <c r="BO42" s="378"/>
      <c r="BQ42" s="9"/>
      <c r="BR42" s="378"/>
      <c r="BT42" s="9"/>
      <c r="BU42" s="378"/>
      <c r="BW42" s="9"/>
      <c r="BX42" s="378"/>
      <c r="BZ42" s="9"/>
      <c r="CA42" s="378"/>
      <c r="CC42" s="9"/>
      <c r="CD42" s="378"/>
      <c r="CF42" s="9"/>
      <c r="CG42" s="378"/>
      <c r="CI42" s="9"/>
      <c r="CJ42" s="378"/>
      <c r="CL42" s="9"/>
      <c r="CM42" s="378"/>
      <c r="CO42" s="9"/>
      <c r="CP42" s="378"/>
      <c r="CR42" s="9"/>
      <c r="CS42" s="378"/>
      <c r="CU42" s="9"/>
      <c r="CV42" s="378"/>
      <c r="CX42" s="9"/>
      <c r="CY42" s="378"/>
      <c r="DA42" s="9"/>
      <c r="DB42" s="378"/>
      <c r="DD42" s="9"/>
      <c r="DE42" s="378"/>
      <c r="DG42" s="9"/>
      <c r="DH42" s="378"/>
      <c r="DJ42" s="9"/>
      <c r="DK42" s="378"/>
      <c r="DM42" s="9"/>
      <c r="DN42" s="378"/>
      <c r="DP42" s="9"/>
      <c r="DQ42" s="378"/>
      <c r="DS42" s="9"/>
      <c r="DT42" s="378"/>
      <c r="DV42" s="9"/>
      <c r="DW42" s="378"/>
      <c r="DY42" s="9"/>
      <c r="DZ42" s="378"/>
      <c r="EB42" s="9"/>
      <c r="EC42" s="378"/>
      <c r="EE42" s="9"/>
      <c r="EF42" s="378"/>
      <c r="EH42" s="9"/>
      <c r="EI42" s="378"/>
      <c r="EK42" s="9"/>
      <c r="EL42" s="378"/>
      <c r="EN42" s="9"/>
      <c r="EO42" s="378"/>
      <c r="EQ42" s="9"/>
      <c r="ER42" s="378"/>
      <c r="ET42" s="9"/>
      <c r="EU42" s="378"/>
      <c r="EW42" s="9"/>
      <c r="EX42" s="378"/>
      <c r="EZ42" s="9"/>
      <c r="FA42" s="378"/>
      <c r="FC42" s="9"/>
      <c r="FD42" s="378"/>
      <c r="FF42" s="9"/>
      <c r="FG42" s="378"/>
      <c r="FI42" s="9"/>
      <c r="FJ42" s="378"/>
      <c r="FL42" s="9"/>
      <c r="FM42" s="378"/>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3">
      <c r="B43" s="927"/>
      <c r="C43" s="927"/>
      <c r="D43" s="2"/>
      <c r="E43" s="10"/>
      <c r="F43" s="11"/>
      <c r="G43" s="11"/>
      <c r="H43" s="10"/>
      <c r="I43" s="10"/>
      <c r="J43" s="11"/>
      <c r="K43" s="10"/>
      <c r="L43" s="11"/>
      <c r="M43" s="10"/>
      <c r="N43" s="11"/>
      <c r="O43" s="10"/>
    </row>
    <row r="44" spans="2:241" hidden="1" x14ac:dyDescent="0.3">
      <c r="B44" s="927"/>
      <c r="C44" s="927"/>
      <c r="D44" s="2"/>
    </row>
    <row r="45" spans="2:241" hidden="1" x14ac:dyDescent="0.3">
      <c r="B45" s="146">
        <v>0.01</v>
      </c>
      <c r="C45" s="146">
        <v>0.99</v>
      </c>
      <c r="D45" s="2"/>
    </row>
    <row r="46" spans="2:241" hidden="1" x14ac:dyDescent="0.3"/>
    <row r="47" spans="2:241" hidden="1" x14ac:dyDescent="0.3">
      <c r="B47" s="146" t="s">
        <v>1941</v>
      </c>
    </row>
    <row r="48" spans="2:241" hidden="1" x14ac:dyDescent="0.3">
      <c r="B48" s="146">
        <v>0</v>
      </c>
      <c r="C48" s="2"/>
      <c r="D48" s="2"/>
      <c r="F48" s="2"/>
      <c r="H48" s="11"/>
      <c r="I48" s="10"/>
      <c r="J48" s="11"/>
      <c r="K48" s="10"/>
      <c r="L48" s="11"/>
      <c r="M48" s="10"/>
      <c r="N48" s="11"/>
    </row>
    <row r="49" spans="2:14" hidden="1" x14ac:dyDescent="0.3">
      <c r="B49" s="146">
        <v>1</v>
      </c>
      <c r="C49" s="2"/>
      <c r="D49" s="2"/>
      <c r="F49" s="2"/>
      <c r="H49" s="11"/>
      <c r="I49" s="10"/>
      <c r="J49" s="11"/>
      <c r="K49" s="10"/>
      <c r="L49" s="11"/>
      <c r="M49" s="10"/>
      <c r="N49" s="11"/>
    </row>
    <row r="50" spans="2:14" hidden="1" x14ac:dyDescent="0.3">
      <c r="B50" s="146">
        <v>2</v>
      </c>
      <c r="C50" s="2"/>
      <c r="D50" s="2"/>
      <c r="F50" s="2"/>
      <c r="H50" s="2"/>
      <c r="J50" s="11"/>
      <c r="K50" s="10"/>
    </row>
    <row r="51" spans="2:14" hidden="1" x14ac:dyDescent="0.3">
      <c r="B51" s="146">
        <v>3</v>
      </c>
      <c r="C51" s="2"/>
      <c r="D51" s="2"/>
      <c r="F51" s="2"/>
      <c r="H51" s="2"/>
      <c r="J51" s="11"/>
      <c r="K51" s="10"/>
    </row>
    <row r="52" spans="2:14" hidden="1" x14ac:dyDescent="0.3">
      <c r="B52" s="146">
        <v>4</v>
      </c>
      <c r="C52" s="2"/>
      <c r="D52" s="2"/>
      <c r="F52" s="2"/>
      <c r="H52" s="2"/>
      <c r="J52" s="11"/>
      <c r="K52" s="10"/>
    </row>
    <row r="53" spans="2:14" hidden="1" x14ac:dyDescent="0.3">
      <c r="B53" s="146">
        <v>5</v>
      </c>
      <c r="C53" s="2"/>
      <c r="D53" s="2"/>
      <c r="F53" s="2"/>
      <c r="H53" s="2"/>
      <c r="J53" s="11"/>
      <c r="K53" s="10"/>
    </row>
    <row r="54" spans="2:14" hidden="1" x14ac:dyDescent="0.3">
      <c r="B54" s="146">
        <v>6</v>
      </c>
      <c r="C54" s="2"/>
    </row>
    <row r="55" spans="2:14" hidden="1" x14ac:dyDescent="0.3">
      <c r="B55" s="146">
        <v>7</v>
      </c>
      <c r="C55" s="2"/>
    </row>
    <row r="56" spans="2:14" hidden="1" x14ac:dyDescent="0.3">
      <c r="B56" s="146">
        <v>8</v>
      </c>
    </row>
    <row r="57" spans="2:14" hidden="1" x14ac:dyDescent="0.3">
      <c r="B57" s="146">
        <v>9</v>
      </c>
    </row>
    <row r="58" spans="2:14" hidden="1" x14ac:dyDescent="0.3">
      <c r="B58" s="146">
        <v>10</v>
      </c>
    </row>
    <row r="59" spans="2:14" hidden="1" x14ac:dyDescent="0.3">
      <c r="B59" s="146">
        <v>11</v>
      </c>
    </row>
    <row r="60" spans="2:14" hidden="1" x14ac:dyDescent="0.3">
      <c r="B60" s="146">
        <v>12</v>
      </c>
    </row>
    <row r="61" spans="2:14" hidden="1" x14ac:dyDescent="0.3">
      <c r="B61" s="146">
        <v>13</v>
      </c>
    </row>
    <row r="62" spans="2:14" hidden="1" x14ac:dyDescent="0.3">
      <c r="B62" s="146">
        <v>14</v>
      </c>
    </row>
    <row r="63" spans="2:14" hidden="1" x14ac:dyDescent="0.3">
      <c r="B63" s="146">
        <v>15</v>
      </c>
    </row>
    <row r="64" spans="2:14" hidden="1" x14ac:dyDescent="0.3">
      <c r="B64" s="146">
        <v>16</v>
      </c>
    </row>
    <row r="65" spans="2:2" hidden="1" x14ac:dyDescent="0.3">
      <c r="B65" s="146">
        <v>17</v>
      </c>
    </row>
    <row r="66" spans="2:2" hidden="1" x14ac:dyDescent="0.3">
      <c r="B66" s="146">
        <v>18</v>
      </c>
    </row>
    <row r="67" spans="2:2" hidden="1" x14ac:dyDescent="0.3">
      <c r="B67" s="146">
        <v>19</v>
      </c>
    </row>
    <row r="68" spans="2:2" hidden="1" x14ac:dyDescent="0.3">
      <c r="B68" s="146">
        <v>20</v>
      </c>
    </row>
    <row r="69" spans="2:2" hidden="1" x14ac:dyDescent="0.3">
      <c r="B69" s="146">
        <v>21</v>
      </c>
    </row>
    <row r="70" spans="2:2" hidden="1" x14ac:dyDescent="0.3">
      <c r="B70" s="146">
        <v>22</v>
      </c>
    </row>
    <row r="71" spans="2:2" hidden="1" x14ac:dyDescent="0.3">
      <c r="B71" s="146">
        <v>23</v>
      </c>
    </row>
    <row r="72" spans="2:2" hidden="1" x14ac:dyDescent="0.3">
      <c r="B72" s="146">
        <v>24</v>
      </c>
    </row>
    <row r="73" spans="2:2" hidden="1" x14ac:dyDescent="0.3">
      <c r="B73" s="146">
        <v>25</v>
      </c>
    </row>
    <row r="74" spans="2:2" hidden="1" x14ac:dyDescent="0.3">
      <c r="B74" s="146">
        <v>26</v>
      </c>
    </row>
    <row r="75" spans="2:2" hidden="1" x14ac:dyDescent="0.3">
      <c r="B75" s="146">
        <v>27</v>
      </c>
    </row>
    <row r="76" spans="2:2" hidden="1" x14ac:dyDescent="0.3">
      <c r="B76" s="146">
        <v>28</v>
      </c>
    </row>
    <row r="77" spans="2:2" hidden="1" x14ac:dyDescent="0.3">
      <c r="B77" s="146">
        <v>29</v>
      </c>
    </row>
    <row r="78" spans="2:2" hidden="1" x14ac:dyDescent="0.3">
      <c r="B78" s="146">
        <v>30</v>
      </c>
    </row>
    <row r="79" spans="2:2" hidden="1" x14ac:dyDescent="0.3">
      <c r="B79" s="146">
        <v>31</v>
      </c>
    </row>
    <row r="80" spans="2:2" hidden="1" x14ac:dyDescent="0.3">
      <c r="B80" s="146">
        <v>32</v>
      </c>
    </row>
    <row r="81" spans="2:2" hidden="1" x14ac:dyDescent="0.3">
      <c r="B81" s="146">
        <v>33</v>
      </c>
    </row>
    <row r="82" spans="2:2" hidden="1" x14ac:dyDescent="0.3">
      <c r="B82" s="146">
        <v>34</v>
      </c>
    </row>
    <row r="83" spans="2:2" hidden="1" x14ac:dyDescent="0.3">
      <c r="B83" s="146">
        <v>35</v>
      </c>
    </row>
    <row r="84" spans="2:2" hidden="1" x14ac:dyDescent="0.3">
      <c r="B84" s="146">
        <v>36</v>
      </c>
    </row>
    <row r="85" spans="2:2" hidden="1" x14ac:dyDescent="0.3">
      <c r="B85" s="146">
        <v>37</v>
      </c>
    </row>
    <row r="86" spans="2:2" hidden="1" x14ac:dyDescent="0.3">
      <c r="B86" s="146">
        <v>38</v>
      </c>
    </row>
    <row r="87" spans="2:2" hidden="1" x14ac:dyDescent="0.3">
      <c r="B87" s="146">
        <v>39</v>
      </c>
    </row>
    <row r="88" spans="2:2" hidden="1" x14ac:dyDescent="0.3">
      <c r="B88" s="146">
        <v>40</v>
      </c>
    </row>
    <row r="89" spans="2:2" hidden="1" x14ac:dyDescent="0.3">
      <c r="B89" s="146">
        <v>41</v>
      </c>
    </row>
    <row r="90" spans="2:2" hidden="1" x14ac:dyDescent="0.3">
      <c r="B90" s="146">
        <v>42</v>
      </c>
    </row>
    <row r="91" spans="2:2" hidden="1" x14ac:dyDescent="0.3">
      <c r="B91" s="146">
        <v>43</v>
      </c>
    </row>
    <row r="92" spans="2:2" hidden="1" x14ac:dyDescent="0.3">
      <c r="B92" s="146">
        <v>44</v>
      </c>
    </row>
    <row r="93" spans="2:2" hidden="1" x14ac:dyDescent="0.3">
      <c r="B93" s="146">
        <v>45</v>
      </c>
    </row>
    <row r="94" spans="2:2" hidden="1" x14ac:dyDescent="0.3">
      <c r="B94" s="146">
        <v>46</v>
      </c>
    </row>
    <row r="95" spans="2:2" hidden="1" x14ac:dyDescent="0.3">
      <c r="B95" s="146">
        <v>47</v>
      </c>
    </row>
    <row r="96" spans="2:2" hidden="1" x14ac:dyDescent="0.3">
      <c r="B96" s="146">
        <v>48</v>
      </c>
    </row>
    <row r="97" spans="2:2" hidden="1" x14ac:dyDescent="0.3">
      <c r="B97" s="146">
        <v>49</v>
      </c>
    </row>
    <row r="98" spans="2:2" hidden="1" x14ac:dyDescent="0.3">
      <c r="B98" s="146">
        <v>50</v>
      </c>
    </row>
    <row r="99" spans="2:2" hidden="1" x14ac:dyDescent="0.3">
      <c r="B99" s="146">
        <v>51</v>
      </c>
    </row>
    <row r="100" spans="2:2" hidden="1" x14ac:dyDescent="0.3">
      <c r="B100" s="146">
        <v>52</v>
      </c>
    </row>
    <row r="101" spans="2:2" hidden="1" x14ac:dyDescent="0.3">
      <c r="B101" s="146">
        <v>53</v>
      </c>
    </row>
    <row r="102" spans="2:2" hidden="1" x14ac:dyDescent="0.3">
      <c r="B102" s="146">
        <v>54</v>
      </c>
    </row>
    <row r="103" spans="2:2" hidden="1" x14ac:dyDescent="0.3">
      <c r="B103" s="146">
        <v>55</v>
      </c>
    </row>
    <row r="104" spans="2:2" hidden="1" x14ac:dyDescent="0.3">
      <c r="B104" s="146">
        <v>56</v>
      </c>
    </row>
    <row r="105" spans="2:2" hidden="1" x14ac:dyDescent="0.3">
      <c r="B105" s="146">
        <v>57</v>
      </c>
    </row>
    <row r="106" spans="2:2" hidden="1" x14ac:dyDescent="0.3">
      <c r="B106" s="146">
        <v>58</v>
      </c>
    </row>
    <row r="107" spans="2:2" hidden="1" x14ac:dyDescent="0.3">
      <c r="B107" s="146">
        <v>59</v>
      </c>
    </row>
    <row r="108" spans="2:2" hidden="1" x14ac:dyDescent="0.3">
      <c r="B108" s="146">
        <v>60</v>
      </c>
    </row>
    <row r="109" spans="2:2" hidden="1" x14ac:dyDescent="0.3">
      <c r="B109" s="146">
        <v>61</v>
      </c>
    </row>
    <row r="110" spans="2:2" hidden="1" x14ac:dyDescent="0.3">
      <c r="B110" s="146">
        <v>62</v>
      </c>
    </row>
    <row r="111" spans="2:2" hidden="1" x14ac:dyDescent="0.3">
      <c r="B111" s="146">
        <v>63</v>
      </c>
    </row>
    <row r="112" spans="2:2" hidden="1" x14ac:dyDescent="0.3">
      <c r="B112" s="146">
        <v>64</v>
      </c>
    </row>
    <row r="113" spans="2:2" hidden="1" x14ac:dyDescent="0.3">
      <c r="B113" s="146">
        <v>65</v>
      </c>
    </row>
    <row r="114" spans="2:2" hidden="1" x14ac:dyDescent="0.3">
      <c r="B114" s="146">
        <v>66</v>
      </c>
    </row>
    <row r="115" spans="2:2" hidden="1" x14ac:dyDescent="0.3">
      <c r="B115" s="146">
        <v>67</v>
      </c>
    </row>
    <row r="116" spans="2:2" hidden="1" x14ac:dyDescent="0.3">
      <c r="B116" s="146">
        <v>68</v>
      </c>
    </row>
    <row r="117" spans="2:2" hidden="1" x14ac:dyDescent="0.3">
      <c r="B117" s="146">
        <v>69</v>
      </c>
    </row>
    <row r="118" spans="2:2" hidden="1" x14ac:dyDescent="0.3">
      <c r="B118" s="146">
        <v>70</v>
      </c>
    </row>
    <row r="119" spans="2:2" hidden="1" x14ac:dyDescent="0.3">
      <c r="B119" s="146">
        <v>71</v>
      </c>
    </row>
    <row r="120" spans="2:2" hidden="1" x14ac:dyDescent="0.3">
      <c r="B120" s="146">
        <v>72</v>
      </c>
    </row>
    <row r="121" spans="2:2" hidden="1" x14ac:dyDescent="0.3">
      <c r="B121" s="146">
        <v>73</v>
      </c>
    </row>
    <row r="122" spans="2:2" hidden="1" x14ac:dyDescent="0.3">
      <c r="B122" s="146">
        <v>74</v>
      </c>
    </row>
    <row r="123" spans="2:2" hidden="1" x14ac:dyDescent="0.3">
      <c r="B123" s="146">
        <v>75</v>
      </c>
    </row>
    <row r="124" spans="2:2" hidden="1" x14ac:dyDescent="0.3">
      <c r="B124" s="146">
        <v>76</v>
      </c>
    </row>
    <row r="125" spans="2:2" hidden="1" x14ac:dyDescent="0.3">
      <c r="B125" s="146">
        <v>77</v>
      </c>
    </row>
    <row r="126" spans="2:2" hidden="1" x14ac:dyDescent="0.3">
      <c r="B126" s="146">
        <v>78</v>
      </c>
    </row>
    <row r="127" spans="2:2" hidden="1" x14ac:dyDescent="0.3">
      <c r="B127" s="146">
        <v>79</v>
      </c>
    </row>
    <row r="128" spans="2:2" hidden="1" x14ac:dyDescent="0.3">
      <c r="B128" s="146">
        <v>80</v>
      </c>
    </row>
    <row r="129" spans="2:2" hidden="1" x14ac:dyDescent="0.3">
      <c r="B129" s="146">
        <v>81</v>
      </c>
    </row>
    <row r="130" spans="2:2" hidden="1" x14ac:dyDescent="0.3">
      <c r="B130" s="146">
        <v>82</v>
      </c>
    </row>
    <row r="131" spans="2:2" hidden="1" x14ac:dyDescent="0.3">
      <c r="B131" s="146">
        <v>83</v>
      </c>
    </row>
    <row r="132" spans="2:2" hidden="1" x14ac:dyDescent="0.3">
      <c r="B132" s="146">
        <v>84</v>
      </c>
    </row>
    <row r="133" spans="2:2" hidden="1" x14ac:dyDescent="0.3">
      <c r="B133" s="146">
        <v>85</v>
      </c>
    </row>
    <row r="134" spans="2:2" hidden="1" x14ac:dyDescent="0.3">
      <c r="B134" s="146">
        <v>86</v>
      </c>
    </row>
    <row r="135" spans="2:2" hidden="1" x14ac:dyDescent="0.3">
      <c r="B135" s="146">
        <v>87</v>
      </c>
    </row>
    <row r="136" spans="2:2" hidden="1" x14ac:dyDescent="0.3">
      <c r="B136" s="146">
        <v>88</v>
      </c>
    </row>
    <row r="137" spans="2:2" hidden="1" x14ac:dyDescent="0.3">
      <c r="B137" s="146">
        <v>89</v>
      </c>
    </row>
    <row r="138" spans="2:2" hidden="1" x14ac:dyDescent="0.3">
      <c r="B138" s="146">
        <v>90</v>
      </c>
    </row>
    <row r="139" spans="2:2" hidden="1" x14ac:dyDescent="0.3">
      <c r="B139" s="146">
        <v>91</v>
      </c>
    </row>
    <row r="140" spans="2:2" hidden="1" x14ac:dyDescent="0.3">
      <c r="B140" s="146">
        <v>92</v>
      </c>
    </row>
    <row r="141" spans="2:2" hidden="1" x14ac:dyDescent="0.3">
      <c r="B141" s="146">
        <v>93</v>
      </c>
    </row>
    <row r="142" spans="2:2" hidden="1" x14ac:dyDescent="0.3">
      <c r="B142" s="146">
        <v>94</v>
      </c>
    </row>
    <row r="143" spans="2:2" hidden="1" x14ac:dyDescent="0.3">
      <c r="B143" s="146">
        <v>95</v>
      </c>
    </row>
    <row r="144" spans="2:2" hidden="1" x14ac:dyDescent="0.3">
      <c r="B144" s="146">
        <v>96</v>
      </c>
    </row>
    <row r="145" spans="2:2" hidden="1" x14ac:dyDescent="0.3">
      <c r="B145" s="146">
        <v>97</v>
      </c>
    </row>
    <row r="146" spans="2:2" hidden="1" x14ac:dyDescent="0.3">
      <c r="B146" s="146">
        <v>98</v>
      </c>
    </row>
    <row r="147" spans="2:2" hidden="1" x14ac:dyDescent="0.3">
      <c r="B147" s="146">
        <v>99</v>
      </c>
    </row>
    <row r="148" spans="2:2" hidden="1" x14ac:dyDescent="0.3">
      <c r="B148" s="146">
        <v>100</v>
      </c>
    </row>
    <row r="149" spans="2:2" hidden="1" x14ac:dyDescent="0.3"/>
  </sheetData>
  <sheetProtection sheet="1" objects="1" scenarios="1"/>
  <mergeCells count="108">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F33:G33">
    <cfRule type="cellIs" dxfId="0" priority="1" operator="greaterThanOrEqual">
      <formula>$X$33</formula>
    </cfRule>
  </conditionalFormatting>
  <dataValidations xWindow="470" yWindow="622"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3 F36: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82550</xdr:colOff>
                    <xdr:row>28</xdr:row>
                    <xdr:rowOff>6350</xdr:rowOff>
                  </from>
                  <to>
                    <xdr:col>13</xdr:col>
                    <xdr:colOff>38100</xdr:colOff>
                    <xdr:row>28</xdr:row>
                    <xdr:rowOff>215900</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6350</xdr:rowOff>
                  </from>
                  <to>
                    <xdr:col>14</xdr:col>
                    <xdr:colOff>635000</xdr:colOff>
                    <xdr:row>28</xdr:row>
                    <xdr:rowOff>215900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578"/>
  <sheetViews>
    <sheetView showGridLines="0" zoomScale="120" zoomScaleNormal="120" workbookViewId="0"/>
  </sheetViews>
  <sheetFormatPr defaultColWidth="2.26953125" defaultRowHeight="13" x14ac:dyDescent="0.3"/>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7.5429687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3">
      <c r="B1" s="10" t="s">
        <v>1732</v>
      </c>
      <c r="C1" s="2"/>
      <c r="D1" s="2"/>
      <c r="F1" s="747" t="str">
        <f>IF('Start here'!A6="","",'Start here'!A6)</f>
        <v/>
      </c>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3">
      <c r="B2" s="792"/>
      <c r="C2" s="792"/>
      <c r="D2" s="792"/>
      <c r="E2" s="792"/>
      <c r="F2" s="792"/>
      <c r="G2" s="792"/>
      <c r="H2" s="792"/>
      <c r="I2" s="792"/>
      <c r="J2" s="792"/>
      <c r="K2" s="792"/>
      <c r="L2" s="792"/>
      <c r="M2" s="792"/>
      <c r="N2" s="792"/>
      <c r="O2" s="792"/>
      <c r="P2" s="792"/>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4">
      <c r="B3" s="919" t="s">
        <v>1154</v>
      </c>
      <c r="C3" s="1612"/>
      <c r="D3" s="1612"/>
      <c r="E3" s="1612"/>
      <c r="F3" s="1612"/>
      <c r="G3" s="1612"/>
      <c r="H3" s="1612"/>
      <c r="I3" s="1612"/>
      <c r="J3" s="1612"/>
      <c r="K3" s="1612"/>
      <c r="L3" s="1612"/>
      <c r="M3" s="1612"/>
      <c r="N3" s="1612"/>
      <c r="O3" s="1612"/>
      <c r="P3" s="1612"/>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3">
      <c r="B4" s="910" t="s">
        <v>537</v>
      </c>
      <c r="C4" s="911"/>
      <c r="D4" s="911"/>
      <c r="E4" s="911"/>
      <c r="F4" s="912"/>
      <c r="G4" s="1611" t="s">
        <v>199</v>
      </c>
      <c r="H4" s="1609"/>
      <c r="I4" s="1609"/>
      <c r="J4" s="1609"/>
      <c r="K4" s="1609" t="s">
        <v>1346</v>
      </c>
      <c r="L4" s="1609"/>
      <c r="M4" s="1609"/>
      <c r="N4" s="1609"/>
      <c r="O4" s="1609" t="s">
        <v>1347</v>
      </c>
      <c r="P4" s="1610"/>
      <c r="R4" s="6"/>
      <c r="S4" s="925" t="s">
        <v>1597</v>
      </c>
      <c r="T4" s="927" t="s">
        <v>211</v>
      </c>
      <c r="U4" s="925" t="s">
        <v>1156</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3">
      <c r="B5" s="907" t="s">
        <v>1155</v>
      </c>
      <c r="C5" s="908"/>
      <c r="D5" s="908"/>
      <c r="E5" s="908"/>
      <c r="F5" s="908"/>
      <c r="G5" s="908"/>
      <c r="H5" s="908"/>
      <c r="I5" s="908"/>
      <c r="J5" s="908"/>
      <c r="K5" s="908"/>
      <c r="L5" s="908"/>
      <c r="M5" s="908"/>
      <c r="N5" s="908"/>
      <c r="O5" s="909"/>
      <c r="P5" s="872">
        <f>U8</f>
        <v>0</v>
      </c>
      <c r="R5" s="6"/>
      <c r="S5" s="925"/>
      <c r="T5" s="927"/>
      <c r="U5" s="925"/>
      <c r="V5" s="1165"/>
      <c r="W5" s="1165"/>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3">
      <c r="B6" s="776" t="s">
        <v>1157</v>
      </c>
      <c r="C6" s="776"/>
      <c r="D6" s="776"/>
      <c r="E6" s="776"/>
      <c r="F6" s="776"/>
      <c r="G6" s="776"/>
      <c r="H6" s="776"/>
      <c r="I6" s="776"/>
      <c r="J6" s="708"/>
      <c r="K6" s="708"/>
      <c r="L6" s="146"/>
      <c r="M6" s="762">
        <f>'Sp-Table'!N3</f>
        <v>0</v>
      </c>
      <c r="N6" s="762"/>
      <c r="O6" s="43"/>
      <c r="P6" s="1010"/>
      <c r="R6" s="6"/>
      <c r="S6" s="13">
        <v>60</v>
      </c>
      <c r="T6" s="105" t="str">
        <f t="shared" ref="T6:T11" si="0">IF(OR(J6="",J6="NA"),"",IF(J6&gt;S6,S6,IF(J6&lt;0,0,J6)))</f>
        <v/>
      </c>
      <c r="U6" s="12">
        <f>SUM(M6:M11)</f>
        <v>0</v>
      </c>
      <c r="V6" s="5"/>
      <c r="W6" s="106"/>
      <c r="X6" s="107"/>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3">
      <c r="B7" s="776" t="s">
        <v>1158</v>
      </c>
      <c r="C7" s="776"/>
      <c r="D7" s="776"/>
      <c r="E7" s="776"/>
      <c r="F7" s="776"/>
      <c r="G7" s="776"/>
      <c r="H7" s="776"/>
      <c r="I7" s="776"/>
      <c r="J7" s="708"/>
      <c r="K7" s="708"/>
      <c r="L7" s="146"/>
      <c r="M7" s="762">
        <f>'Sp-Table'!N4</f>
        <v>0</v>
      </c>
      <c r="N7" s="762"/>
      <c r="O7" s="43"/>
      <c r="P7" s="1010"/>
      <c r="R7" s="6"/>
      <c r="S7" s="13">
        <v>75</v>
      </c>
      <c r="T7" s="105" t="str">
        <f t="shared" si="0"/>
        <v/>
      </c>
      <c r="U7" s="35">
        <f>IF(AND(U6&gt;0,U6&lt;0.01),0.01,U6)</f>
        <v>0</v>
      </c>
      <c r="V7" s="5"/>
      <c r="W7" s="106"/>
      <c r="X7" s="107"/>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3">
      <c r="B8" s="776" t="s">
        <v>1159</v>
      </c>
      <c r="C8" s="776"/>
      <c r="D8" s="776"/>
      <c r="E8" s="776"/>
      <c r="F8" s="776"/>
      <c r="G8" s="776"/>
      <c r="H8" s="776"/>
      <c r="I8" s="776"/>
      <c r="J8" s="708"/>
      <c r="K8" s="708"/>
      <c r="L8" s="146"/>
      <c r="M8" s="762">
        <f>'Sp-Table'!N5</f>
        <v>0</v>
      </c>
      <c r="N8" s="762"/>
      <c r="O8" s="43"/>
      <c r="P8" s="1010"/>
      <c r="R8" s="6"/>
      <c r="S8" s="13">
        <v>45</v>
      </c>
      <c r="T8" s="105" t="str">
        <f t="shared" si="0"/>
        <v/>
      </c>
      <c r="U8" s="12">
        <f>ROUND(U7,2)</f>
        <v>0</v>
      </c>
      <c r="V8" s="5"/>
      <c r="W8" s="106"/>
      <c r="X8" s="108"/>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3">
      <c r="B9" s="776" t="s">
        <v>1160</v>
      </c>
      <c r="C9" s="776"/>
      <c r="D9" s="776"/>
      <c r="E9" s="776"/>
      <c r="F9" s="776"/>
      <c r="G9" s="776"/>
      <c r="H9" s="776"/>
      <c r="I9" s="776"/>
      <c r="J9" s="708"/>
      <c r="K9" s="708"/>
      <c r="L9" s="146"/>
      <c r="M9" s="762">
        <f>'Sp-Table'!N6</f>
        <v>0</v>
      </c>
      <c r="N9" s="762"/>
      <c r="O9" s="43"/>
      <c r="P9" s="1010"/>
      <c r="R9" s="6"/>
      <c r="S9" s="13">
        <v>45</v>
      </c>
      <c r="T9" s="13" t="str">
        <f t="shared" si="0"/>
        <v/>
      </c>
      <c r="U9" s="6"/>
      <c r="V9" s="5"/>
      <c r="W9" s="106"/>
      <c r="X9" s="107"/>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3">
      <c r="B10" s="776" t="s">
        <v>1410</v>
      </c>
      <c r="C10" s="776"/>
      <c r="D10" s="776"/>
      <c r="E10" s="776"/>
      <c r="F10" s="776"/>
      <c r="G10" s="776"/>
      <c r="H10" s="776"/>
      <c r="I10" s="776"/>
      <c r="J10" s="708"/>
      <c r="K10" s="708"/>
      <c r="L10" s="146"/>
      <c r="M10" s="762">
        <f>'Sp-Table'!N7</f>
        <v>0</v>
      </c>
      <c r="N10" s="762"/>
      <c r="O10" s="43"/>
      <c r="P10" s="1010"/>
      <c r="R10" s="6"/>
      <c r="S10" s="13">
        <v>80</v>
      </c>
      <c r="T10" s="13" t="str">
        <f t="shared" si="0"/>
        <v/>
      </c>
      <c r="U10" s="6"/>
      <c r="V10" s="5"/>
      <c r="W10" s="106"/>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3">
      <c r="B11" s="776" t="s">
        <v>1411</v>
      </c>
      <c r="C11" s="776"/>
      <c r="D11" s="776"/>
      <c r="E11" s="776"/>
      <c r="F11" s="776"/>
      <c r="G11" s="776"/>
      <c r="H11" s="776"/>
      <c r="I11" s="776"/>
      <c r="J11" s="708"/>
      <c r="K11" s="708"/>
      <c r="L11" s="146"/>
      <c r="M11" s="762">
        <f>'Sp-Table'!N8</f>
        <v>0</v>
      </c>
      <c r="N11" s="762"/>
      <c r="O11" s="43"/>
      <c r="P11" s="1010"/>
      <c r="R11" s="6"/>
      <c r="S11" s="13">
        <v>80</v>
      </c>
      <c r="T11" s="13" t="str">
        <f t="shared" si="0"/>
        <v/>
      </c>
      <c r="U11" s="6"/>
      <c r="V11" s="5"/>
      <c r="W11" s="106"/>
      <c r="X11" s="107"/>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3">
      <c r="B12" s="1498" t="s">
        <v>1412</v>
      </c>
      <c r="C12" s="1499"/>
      <c r="D12" s="1499"/>
      <c r="E12" s="1499"/>
      <c r="F12" s="1499"/>
      <c r="G12" s="1499"/>
      <c r="H12" s="1499"/>
      <c r="I12" s="1499"/>
      <c r="J12" s="1499"/>
      <c r="K12" s="1499"/>
      <c r="L12" s="1499"/>
      <c r="M12" s="1499"/>
      <c r="N12" s="1499"/>
      <c r="O12" s="1500"/>
      <c r="P12" s="996"/>
      <c r="R12" s="6"/>
      <c r="S12" s="6"/>
      <c r="T12" s="6"/>
      <c r="U12" s="6"/>
      <c r="V12" s="5"/>
      <c r="W12" s="106"/>
      <c r="X12" s="107"/>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3">
      <c r="B13" s="1506"/>
      <c r="C13" s="1506"/>
      <c r="D13" s="1506"/>
      <c r="E13" s="1506"/>
      <c r="F13" s="1506"/>
      <c r="G13" s="1506"/>
      <c r="H13" s="1506"/>
      <c r="I13" s="1506"/>
      <c r="J13" s="1506"/>
      <c r="K13" s="1506"/>
      <c r="L13" s="1506"/>
      <c r="M13" s="1506"/>
      <c r="N13" s="1506"/>
      <c r="O13" s="1506"/>
      <c r="R13" s="6"/>
      <c r="S13" s="6"/>
      <c r="T13" s="6"/>
      <c r="U13" s="6"/>
      <c r="V13" s="5"/>
      <c r="W13" s="106"/>
      <c r="X13" s="107"/>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3">
      <c r="B14" s="1591" t="s">
        <v>530</v>
      </c>
      <c r="C14" s="1592"/>
      <c r="D14" s="1592"/>
      <c r="E14" s="1593"/>
      <c r="F14" s="18" t="s">
        <v>994</v>
      </c>
      <c r="G14" s="40"/>
      <c r="H14" s="21">
        <f>IF(OR(G14="NA",G14=0,G14=""),0,IF(G14/100&lt;=0.25,0.04,IF(G14/100&lt;=0.5,0.06,IF(G14/100&gt;0.5,0.1,""))))</f>
        <v>0</v>
      </c>
      <c r="I14" s="1591" t="s">
        <v>2284</v>
      </c>
      <c r="J14" s="1592"/>
      <c r="K14" s="1592"/>
      <c r="L14" s="1593"/>
      <c r="M14" s="18" t="s">
        <v>994</v>
      </c>
      <c r="N14" s="40"/>
      <c r="O14" s="21">
        <f t="shared" ref="O14:O20" si="1">IF(N14="X",0.04,0)</f>
        <v>0</v>
      </c>
      <c r="P14" s="234"/>
      <c r="R14" s="6"/>
      <c r="S14" s="6"/>
      <c r="T14" s="6"/>
      <c r="U14" s="6"/>
      <c r="V14" s="5"/>
      <c r="W14" s="106"/>
      <c r="X14" s="107"/>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3">
      <c r="B15" s="1594"/>
      <c r="C15" s="1595"/>
      <c r="D15" s="1595"/>
      <c r="E15" s="1596"/>
      <c r="F15" s="18" t="s">
        <v>995</v>
      </c>
      <c r="G15" s="40"/>
      <c r="H15" s="21">
        <f t="shared" ref="H15:H20" si="2">IF(OR(G15="NA",G15=0,G15=""),0,IF(G15/100&lt;=0.25,0.04,IF(G15/100&lt;=0.5,0.06,IF(G15/100&gt;0.5,0.1,""))))</f>
        <v>0</v>
      </c>
      <c r="I15" s="1594"/>
      <c r="J15" s="1595"/>
      <c r="K15" s="1595"/>
      <c r="L15" s="1596"/>
      <c r="M15" s="18" t="s">
        <v>995</v>
      </c>
      <c r="N15" s="40"/>
      <c r="O15" s="21">
        <f t="shared" si="1"/>
        <v>0</v>
      </c>
      <c r="P15" s="361"/>
      <c r="R15" s="6"/>
      <c r="S15" s="5"/>
      <c r="T15" s="5"/>
      <c r="U15" s="6"/>
      <c r="V15" s="5"/>
      <c r="W15" s="106"/>
      <c r="X15" s="107"/>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3">
      <c r="B16" s="1594"/>
      <c r="C16" s="1595"/>
      <c r="D16" s="1595"/>
      <c r="E16" s="1596"/>
      <c r="F16" s="18" t="s">
        <v>996</v>
      </c>
      <c r="G16" s="40"/>
      <c r="H16" s="21">
        <f t="shared" si="2"/>
        <v>0</v>
      </c>
      <c r="I16" s="1594"/>
      <c r="J16" s="1595"/>
      <c r="K16" s="1595"/>
      <c r="L16" s="1596"/>
      <c r="M16" s="18" t="s">
        <v>996</v>
      </c>
      <c r="N16" s="40"/>
      <c r="O16" s="21">
        <f t="shared" si="1"/>
        <v>0</v>
      </c>
      <c r="P16" s="361"/>
      <c r="R16" s="6"/>
      <c r="S16" s="5"/>
      <c r="T16" s="5"/>
      <c r="U16" s="6"/>
      <c r="V16" s="5"/>
      <c r="W16" s="106"/>
      <c r="X16" s="107"/>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3">
      <c r="B17" s="1594"/>
      <c r="C17" s="1595"/>
      <c r="D17" s="1595"/>
      <c r="E17" s="1596"/>
      <c r="F17" s="3" t="s">
        <v>997</v>
      </c>
      <c r="G17" s="40"/>
      <c r="H17" s="21">
        <f t="shared" si="2"/>
        <v>0</v>
      </c>
      <c r="I17" s="1594"/>
      <c r="J17" s="1595"/>
      <c r="K17" s="1595"/>
      <c r="L17" s="1596"/>
      <c r="M17" s="3" t="s">
        <v>997</v>
      </c>
      <c r="N17" s="40"/>
      <c r="O17" s="21">
        <f t="shared" si="1"/>
        <v>0</v>
      </c>
      <c r="P17" s="361"/>
      <c r="R17" s="6"/>
      <c r="S17" s="5"/>
      <c r="T17" s="5"/>
      <c r="U17" s="6"/>
      <c r="V17" s="5"/>
      <c r="W17" s="106"/>
      <c r="X17" s="107"/>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3">
      <c r="B18" s="1594"/>
      <c r="C18" s="1595"/>
      <c r="D18" s="1595"/>
      <c r="E18" s="1596"/>
      <c r="F18" s="4" t="s">
        <v>998</v>
      </c>
      <c r="G18" s="40"/>
      <c r="H18" s="21">
        <f t="shared" si="2"/>
        <v>0</v>
      </c>
      <c r="I18" s="1594"/>
      <c r="J18" s="1595"/>
      <c r="K18" s="1595"/>
      <c r="L18" s="1596"/>
      <c r="M18" s="4" t="s">
        <v>998</v>
      </c>
      <c r="N18" s="40"/>
      <c r="O18" s="21">
        <f t="shared" si="1"/>
        <v>0</v>
      </c>
      <c r="P18" s="361"/>
      <c r="R18" s="6"/>
      <c r="U18" s="6"/>
      <c r="V18" s="5"/>
      <c r="W18" s="106"/>
      <c r="X18" s="107"/>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3">
      <c r="B19" s="1594"/>
      <c r="C19" s="1595"/>
      <c r="D19" s="1595"/>
      <c r="E19" s="1596"/>
      <c r="F19" s="45" t="s">
        <v>999</v>
      </c>
      <c r="G19" s="40"/>
      <c r="H19" s="21">
        <f t="shared" si="2"/>
        <v>0</v>
      </c>
      <c r="I19" s="1594"/>
      <c r="J19" s="1595"/>
      <c r="K19" s="1595"/>
      <c r="L19" s="1596"/>
      <c r="M19" s="45" t="s">
        <v>999</v>
      </c>
      <c r="N19" s="40"/>
      <c r="O19" s="21">
        <f t="shared" si="1"/>
        <v>0</v>
      </c>
      <c r="P19" s="361"/>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3">
      <c r="B20" s="1597"/>
      <c r="C20" s="1598"/>
      <c r="D20" s="1598"/>
      <c r="E20" s="1599"/>
      <c r="F20" s="19" t="s">
        <v>1000</v>
      </c>
      <c r="G20" s="40"/>
      <c r="H20" s="21">
        <f t="shared" si="2"/>
        <v>0</v>
      </c>
      <c r="I20" s="1597"/>
      <c r="J20" s="1598"/>
      <c r="K20" s="1598"/>
      <c r="L20" s="1599"/>
      <c r="M20" s="19" t="s">
        <v>1000</v>
      </c>
      <c r="N20" s="40"/>
      <c r="O20" s="21">
        <f t="shared" si="1"/>
        <v>0</v>
      </c>
      <c r="P20" s="233"/>
      <c r="R20" s="6"/>
      <c r="S20" s="6"/>
      <c r="T20" s="6"/>
      <c r="U20" s="6"/>
      <c r="V20" s="5"/>
      <c r="W20" s="106"/>
      <c r="X20" s="107"/>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3">
      <c r="B21" s="878" t="s">
        <v>774</v>
      </c>
      <c r="C21" s="878"/>
      <c r="D21" s="878"/>
      <c r="E21" s="878"/>
      <c r="F21" s="878"/>
      <c r="G21" s="878"/>
      <c r="H21" s="878"/>
      <c r="I21" s="878"/>
      <c r="J21" s="878"/>
      <c r="K21" s="878"/>
      <c r="L21" s="878"/>
      <c r="M21" s="878"/>
      <c r="N21" s="878"/>
      <c r="O21" s="878"/>
      <c r="R21" s="6"/>
      <c r="S21" s="6"/>
      <c r="T21" s="6"/>
      <c r="U21" s="6"/>
      <c r="V21" s="5"/>
      <c r="W21" s="106"/>
      <c r="X21" s="107"/>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3">
      <c r="B22" s="771" t="s">
        <v>561</v>
      </c>
      <c r="C22" s="772"/>
      <c r="D22" s="772"/>
      <c r="E22" s="772"/>
      <c r="F22" s="772"/>
      <c r="G22" s="772"/>
      <c r="H22" s="772"/>
      <c r="I22" s="772"/>
      <c r="J22" s="772"/>
      <c r="K22" s="772"/>
      <c r="L22" s="772"/>
      <c r="M22" s="772"/>
      <c r="N22" s="772"/>
      <c r="O22" s="773"/>
      <c r="P22" s="1586" t="s">
        <v>2027</v>
      </c>
      <c r="R22" s="6"/>
      <c r="T22" s="6"/>
      <c r="U22" s="6"/>
      <c r="V22" s="6"/>
      <c r="W22" s="6"/>
      <c r="X22" s="6"/>
      <c r="Y22" s="6"/>
      <c r="Z22" s="6"/>
      <c r="AA22" s="6"/>
      <c r="AB22" s="6"/>
      <c r="AC22" s="6"/>
      <c r="AD22" s="6"/>
      <c r="AE22" s="6"/>
      <c r="AF22" s="927" t="s">
        <v>2278</v>
      </c>
      <c r="AG22" s="927" t="s">
        <v>2279</v>
      </c>
      <c r="AH22" s="927" t="s">
        <v>2280</v>
      </c>
      <c r="AI22" s="927" t="s">
        <v>2281</v>
      </c>
      <c r="AJ22" s="927" t="s">
        <v>2282</v>
      </c>
      <c r="AK22" s="845" t="s">
        <v>1023</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3">
      <c r="B23" s="18" t="s">
        <v>994</v>
      </c>
      <c r="C23" s="22" t="s">
        <v>995</v>
      </c>
      <c r="D23" s="22" t="s">
        <v>775</v>
      </c>
      <c r="E23" s="22" t="s">
        <v>996</v>
      </c>
      <c r="F23" s="22" t="s">
        <v>775</v>
      </c>
      <c r="G23" s="22" t="s">
        <v>997</v>
      </c>
      <c r="H23" s="22" t="s">
        <v>775</v>
      </c>
      <c r="I23" s="36" t="s">
        <v>998</v>
      </c>
      <c r="J23" s="36" t="s">
        <v>775</v>
      </c>
      <c r="K23" s="36" t="s">
        <v>999</v>
      </c>
      <c r="L23" s="36" t="s">
        <v>775</v>
      </c>
      <c r="M23" s="36" t="s">
        <v>1000</v>
      </c>
      <c r="N23" s="22" t="s">
        <v>775</v>
      </c>
      <c r="O23" s="146"/>
      <c r="P23" s="1587"/>
      <c r="R23" s="6"/>
      <c r="S23" s="757" t="s">
        <v>2289</v>
      </c>
      <c r="T23" s="758"/>
      <c r="U23" s="758"/>
      <c r="V23" s="758"/>
      <c r="W23" s="758"/>
      <c r="X23" s="758"/>
      <c r="Y23" s="758"/>
      <c r="Z23" s="758"/>
      <c r="AA23" s="758"/>
      <c r="AB23" s="758"/>
      <c r="AC23" s="758"/>
      <c r="AD23" s="758"/>
      <c r="AE23" s="759"/>
      <c r="AF23" s="927"/>
      <c r="AG23" s="927"/>
      <c r="AH23" s="927"/>
      <c r="AI23" s="927"/>
      <c r="AJ23" s="927"/>
      <c r="AK23" s="847"/>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3">
      <c r="B24" s="40"/>
      <c r="C24" s="40"/>
      <c r="D24" s="40"/>
      <c r="E24" s="40"/>
      <c r="F24" s="40"/>
      <c r="G24" s="40"/>
      <c r="H24" s="40"/>
      <c r="I24" s="40"/>
      <c r="J24" s="40"/>
      <c r="K24" s="40"/>
      <c r="L24" s="40"/>
      <c r="M24" s="40"/>
      <c r="N24" s="40"/>
      <c r="O24" s="44"/>
      <c r="P24" s="1587"/>
      <c r="R24" s="6"/>
      <c r="S24" s="13">
        <f t="shared" ref="S24:AE24" si="3">IF(B24="X",1,0)</f>
        <v>0</v>
      </c>
      <c r="T24" s="105">
        <f t="shared" si="3"/>
        <v>0</v>
      </c>
      <c r="U24" s="105">
        <f t="shared" si="3"/>
        <v>0</v>
      </c>
      <c r="V24" s="105">
        <f t="shared" si="3"/>
        <v>0</v>
      </c>
      <c r="W24" s="105">
        <f t="shared" si="3"/>
        <v>0</v>
      </c>
      <c r="X24" s="105">
        <f t="shared" si="3"/>
        <v>0</v>
      </c>
      <c r="Y24" s="105">
        <f t="shared" si="3"/>
        <v>0</v>
      </c>
      <c r="Z24" s="105">
        <f t="shared" si="3"/>
        <v>0</v>
      </c>
      <c r="AA24" s="105">
        <f t="shared" si="3"/>
        <v>0</v>
      </c>
      <c r="AB24" s="105">
        <f t="shared" si="3"/>
        <v>0</v>
      </c>
      <c r="AC24" s="105">
        <f t="shared" si="3"/>
        <v>0</v>
      </c>
      <c r="AD24" s="105">
        <f t="shared" si="3"/>
        <v>0</v>
      </c>
      <c r="AE24" s="105">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3">
      <c r="B25" s="1285" t="s">
        <v>778</v>
      </c>
      <c r="C25" s="1286"/>
      <c r="D25" s="1286"/>
      <c r="E25" s="1286"/>
      <c r="F25" s="1286"/>
      <c r="G25" s="1286"/>
      <c r="H25" s="1286"/>
      <c r="I25" s="1286"/>
      <c r="J25" s="1286"/>
      <c r="K25" s="1286"/>
      <c r="L25" s="1286"/>
      <c r="M25" s="1287"/>
      <c r="N25" s="770">
        <f>AK24</f>
        <v>0</v>
      </c>
      <c r="O25" s="770"/>
      <c r="P25" s="1587"/>
      <c r="R25" s="6"/>
      <c r="S25" s="6"/>
      <c r="T25" s="6"/>
      <c r="U25" s="6"/>
      <c r="V25" s="6"/>
      <c r="W25" s="6"/>
      <c r="X25" s="6"/>
      <c r="Y25" s="6"/>
      <c r="Z25" s="6"/>
      <c r="AA25" s="6"/>
      <c r="AB25" s="6"/>
      <c r="AC25" s="6"/>
      <c r="AD25" s="6"/>
      <c r="AE25" s="6"/>
      <c r="AF25" s="6"/>
      <c r="AG25" s="6"/>
      <c r="AH25" s="34"/>
      <c r="AI25" s="34"/>
      <c r="AJ25" s="34"/>
      <c r="AK25" s="109"/>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3">
      <c r="B26" s="771" t="s">
        <v>1337</v>
      </c>
      <c r="C26" s="772"/>
      <c r="D26" s="772"/>
      <c r="E26" s="772"/>
      <c r="F26" s="772"/>
      <c r="G26" s="772"/>
      <c r="H26" s="772"/>
      <c r="I26" s="772"/>
      <c r="J26" s="772"/>
      <c r="K26" s="772"/>
      <c r="L26" s="772"/>
      <c r="M26" s="772"/>
      <c r="N26" s="772"/>
      <c r="O26" s="773"/>
      <c r="P26" s="1587"/>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3">
      <c r="B27" s="18" t="s">
        <v>994</v>
      </c>
      <c r="C27" s="22" t="s">
        <v>995</v>
      </c>
      <c r="D27" s="22" t="s">
        <v>775</v>
      </c>
      <c r="E27" s="22" t="s">
        <v>996</v>
      </c>
      <c r="F27" s="22" t="s">
        <v>775</v>
      </c>
      <c r="G27" s="22" t="s">
        <v>997</v>
      </c>
      <c r="H27" s="22" t="s">
        <v>775</v>
      </c>
      <c r="I27" s="36" t="s">
        <v>998</v>
      </c>
      <c r="J27" s="36" t="s">
        <v>775</v>
      </c>
      <c r="K27" s="36" t="s">
        <v>999</v>
      </c>
      <c r="L27" s="36" t="s">
        <v>775</v>
      </c>
      <c r="M27" s="36" t="s">
        <v>1000</v>
      </c>
      <c r="N27" s="22" t="s">
        <v>775</v>
      </c>
      <c r="O27" s="43"/>
      <c r="P27" s="1587"/>
      <c r="R27" s="6"/>
      <c r="Y27" s="102"/>
      <c r="Z27" s="6"/>
      <c r="AA27" s="6"/>
      <c r="AB27" s="6"/>
      <c r="AC27" s="6"/>
      <c r="AD27" s="6"/>
      <c r="AE27" s="6"/>
      <c r="AF27" s="6"/>
      <c r="AG27" s="34"/>
      <c r="AH27" s="34"/>
      <c r="AI27" s="34"/>
      <c r="AJ27" s="109"/>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3">
      <c r="B28" s="40"/>
      <c r="C28" s="40"/>
      <c r="D28" s="40"/>
      <c r="E28" s="40"/>
      <c r="F28" s="40"/>
      <c r="G28" s="40"/>
      <c r="H28" s="40"/>
      <c r="I28" s="40"/>
      <c r="J28" s="40"/>
      <c r="K28" s="40"/>
      <c r="L28" s="40"/>
      <c r="M28" s="40"/>
      <c r="N28" s="40"/>
      <c r="O28" s="43"/>
      <c r="P28" s="1587"/>
      <c r="R28" s="6"/>
      <c r="Y28" s="102"/>
      <c r="Z28" s="6"/>
      <c r="AA28" s="6"/>
      <c r="AB28" s="6"/>
      <c r="AC28" s="6"/>
      <c r="AD28" s="6"/>
      <c r="AE28" s="6"/>
      <c r="AF28" s="6"/>
      <c r="AG28" s="34"/>
      <c r="AH28" s="34"/>
      <c r="AI28" s="34"/>
      <c r="AJ28" s="109"/>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3">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87"/>
      <c r="R29" s="6"/>
      <c r="S29" s="6"/>
      <c r="T29" s="6"/>
      <c r="U29" s="6"/>
      <c r="V29" s="5"/>
      <c r="W29" s="106"/>
      <c r="X29" s="107"/>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3">
      <c r="B30" s="1285" t="s">
        <v>778</v>
      </c>
      <c r="C30" s="1286"/>
      <c r="D30" s="1286"/>
      <c r="E30" s="1286"/>
      <c r="F30" s="1286"/>
      <c r="G30" s="1286"/>
      <c r="H30" s="1286"/>
      <c r="I30" s="1286"/>
      <c r="J30" s="1286"/>
      <c r="K30" s="1286"/>
      <c r="L30" s="1286"/>
      <c r="M30" s="1287"/>
      <c r="N30" s="770">
        <f>SUM(B29:N29)</f>
        <v>0</v>
      </c>
      <c r="O30" s="770"/>
      <c r="P30" s="533"/>
      <c r="R30" s="6"/>
      <c r="S30" s="6"/>
      <c r="T30" s="6"/>
      <c r="U30" s="6"/>
      <c r="V30" s="5"/>
      <c r="W30" s="106"/>
      <c r="X30" s="107"/>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3">
      <c r="B31" s="1142" t="s">
        <v>1338</v>
      </c>
      <c r="C31" s="1142"/>
      <c r="D31" s="1142"/>
      <c r="E31" s="1142"/>
      <c r="F31" s="1142"/>
      <c r="G31" s="1142"/>
      <c r="H31" s="1142"/>
      <c r="I31" s="1142"/>
      <c r="J31" s="1142"/>
      <c r="K31" s="1142"/>
      <c r="L31" s="1142"/>
      <c r="M31" s="1142"/>
      <c r="N31" s="1142"/>
      <c r="O31" s="1142"/>
      <c r="P31" s="248">
        <f>N25+N30</f>
        <v>0</v>
      </c>
      <c r="R31" s="6"/>
      <c r="S31" s="6"/>
      <c r="T31" s="6"/>
      <c r="U31" s="6"/>
      <c r="V31" s="5"/>
      <c r="W31" s="106"/>
      <c r="X31" s="107"/>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3">
      <c r="B32" s="1613"/>
      <c r="C32" s="800"/>
      <c r="D32" s="800"/>
      <c r="E32" s="800"/>
      <c r="F32" s="800"/>
      <c r="G32" s="800"/>
      <c r="H32" s="800"/>
      <c r="I32" s="800"/>
      <c r="J32" s="800"/>
      <c r="K32" s="800"/>
      <c r="L32" s="800"/>
      <c r="M32" s="800"/>
      <c r="N32" s="800"/>
      <c r="O32" s="800"/>
      <c r="P32" s="800"/>
      <c r="R32" s="6"/>
      <c r="S32" s="6"/>
      <c r="T32" s="6"/>
      <c r="U32" s="6"/>
      <c r="V32" s="5"/>
      <c r="W32" s="106"/>
      <c r="X32" s="107"/>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3">
      <c r="B33" s="947" t="s">
        <v>596</v>
      </c>
      <c r="C33" s="878"/>
      <c r="D33" s="878"/>
      <c r="E33" s="878"/>
      <c r="F33" s="878"/>
      <c r="G33" s="878"/>
      <c r="H33" s="878"/>
      <c r="I33" s="878"/>
      <c r="J33" s="878"/>
      <c r="K33" s="878"/>
      <c r="L33" s="878"/>
      <c r="M33" s="878"/>
      <c r="N33" s="878"/>
      <c r="O33" s="878"/>
      <c r="P33" s="992">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3">
      <c r="B34" s="776" t="s">
        <v>1143</v>
      </c>
      <c r="C34" s="776"/>
      <c r="D34" s="776"/>
      <c r="E34" s="776"/>
      <c r="F34" s="776"/>
      <c r="G34" s="776"/>
      <c r="H34" s="776"/>
      <c r="I34" s="776"/>
      <c r="J34" s="776"/>
      <c r="K34" s="776"/>
      <c r="L34" s="776"/>
      <c r="M34" s="776"/>
      <c r="N34" s="776"/>
      <c r="O34" s="776"/>
      <c r="P34" s="1081"/>
      <c r="R34" s="259" t="s">
        <v>2300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3">
      <c r="A35" s="15"/>
      <c r="B35" s="806" t="s">
        <v>948</v>
      </c>
      <c r="C35" s="806"/>
      <c r="D35" s="806"/>
      <c r="E35" s="806"/>
      <c r="F35" s="806"/>
      <c r="G35" s="806"/>
      <c r="H35" s="806"/>
      <c r="I35" s="806"/>
      <c r="J35" s="806"/>
      <c r="K35" s="1023"/>
      <c r="L35" s="1023"/>
      <c r="M35" s="1023"/>
      <c r="N35" s="1023"/>
      <c r="O35" s="1023"/>
      <c r="P35" s="1082"/>
      <c r="R35" s="622">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3">
      <c r="B36" s="792"/>
      <c r="C36" s="792"/>
      <c r="D36" s="792"/>
      <c r="E36" s="792"/>
      <c r="F36" s="792"/>
      <c r="G36" s="792"/>
      <c r="H36" s="792"/>
      <c r="I36" s="792"/>
      <c r="J36" s="792"/>
      <c r="K36" s="792"/>
      <c r="L36" s="792"/>
      <c r="M36" s="792"/>
      <c r="N36" s="792"/>
      <c r="O36" s="792"/>
      <c r="P36" s="792"/>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3">
      <c r="B37" s="792"/>
      <c r="C37" s="792"/>
      <c r="D37" s="792"/>
      <c r="E37" s="792"/>
      <c r="F37" s="792"/>
      <c r="G37" s="792"/>
      <c r="H37" s="792"/>
      <c r="I37" s="792"/>
      <c r="J37" s="792"/>
      <c r="K37" s="792"/>
      <c r="L37" s="792"/>
      <c r="M37" s="792"/>
      <c r="N37" s="792"/>
      <c r="O37" s="792"/>
      <c r="P37" s="792"/>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3">
      <c r="B38" s="756" t="s">
        <v>1339</v>
      </c>
      <c r="C38" s="756"/>
      <c r="D38" s="756"/>
      <c r="E38" s="756"/>
      <c r="F38" s="756"/>
      <c r="G38" s="756"/>
      <c r="H38" s="756"/>
      <c r="I38" s="927" t="s">
        <v>1524</v>
      </c>
      <c r="J38" s="925"/>
      <c r="K38" s="925"/>
      <c r="L38" s="925"/>
      <c r="M38" s="1601"/>
      <c r="N38" s="1602"/>
      <c r="O38" s="1603"/>
      <c r="P38" s="1584">
        <f>AH42</f>
        <v>0</v>
      </c>
      <c r="S38" s="6"/>
      <c r="T38" s="6"/>
      <c r="U38" s="6"/>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3">
      <c r="B39" s="806" t="s">
        <v>1958</v>
      </c>
      <c r="C39" s="806"/>
      <c r="D39" s="806"/>
      <c r="E39" s="806"/>
      <c r="F39" s="806"/>
      <c r="G39" s="770">
        <f>P5</f>
        <v>0</v>
      </c>
      <c r="H39" s="770"/>
      <c r="I39" s="1582"/>
      <c r="J39" s="1583"/>
      <c r="K39" s="1484">
        <f>IF(I39="",0,IF(AND(G39*I39&gt;0,G39*I39&lt;0.01),0.01,ROUND(G39*I39,2)))</f>
        <v>0</v>
      </c>
      <c r="L39" s="1484"/>
      <c r="M39" s="1604"/>
      <c r="N39" s="1506"/>
      <c r="O39" s="1507"/>
      <c r="P39" s="1584"/>
      <c r="R39" s="13" t="s">
        <v>1864</v>
      </c>
      <c r="S39" s="370">
        <f>IF(K39&gt;0,K39,G39)</f>
        <v>0</v>
      </c>
      <c r="T39" s="52">
        <f>B42</f>
        <v>0</v>
      </c>
      <c r="U39" s="52">
        <f t="shared" ref="U39:Z39" si="5">C42</f>
        <v>0</v>
      </c>
      <c r="V39" s="52">
        <f t="shared" si="5"/>
        <v>0</v>
      </c>
      <c r="W39" s="52">
        <f t="shared" si="5"/>
        <v>0</v>
      </c>
      <c r="X39" s="52">
        <f t="shared" si="5"/>
        <v>0</v>
      </c>
      <c r="Y39" s="52">
        <f t="shared" si="5"/>
        <v>0</v>
      </c>
      <c r="Z39" s="52">
        <f t="shared" si="5"/>
        <v>0</v>
      </c>
      <c r="AA39" s="52">
        <f t="shared" ref="AA39:AG39" si="6">B45</f>
        <v>0</v>
      </c>
      <c r="AB39" s="52">
        <f t="shared" si="6"/>
        <v>0</v>
      </c>
      <c r="AC39" s="52">
        <f t="shared" si="6"/>
        <v>0</v>
      </c>
      <c r="AD39" s="52">
        <f t="shared" si="6"/>
        <v>0</v>
      </c>
      <c r="AE39" s="52">
        <f t="shared" si="6"/>
        <v>0</v>
      </c>
      <c r="AF39" s="52">
        <f t="shared" si="6"/>
        <v>0</v>
      </c>
      <c r="AG39" s="52">
        <f t="shared" si="6"/>
        <v>0</v>
      </c>
      <c r="AH39" s="394">
        <f>G46</f>
        <v>0</v>
      </c>
      <c r="AI39" s="370">
        <f>IF(K47&gt;0,K47,G47)</f>
        <v>0</v>
      </c>
      <c r="AJ39" s="6"/>
      <c r="AK39" s="6"/>
      <c r="AL39" s="6"/>
      <c r="AM39" s="6"/>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3">
      <c r="B40" s="757" t="s">
        <v>1340</v>
      </c>
      <c r="C40" s="758"/>
      <c r="D40" s="758"/>
      <c r="E40" s="758"/>
      <c r="F40" s="758"/>
      <c r="G40" s="758"/>
      <c r="H40" s="759"/>
      <c r="I40" s="927" t="s">
        <v>1941</v>
      </c>
      <c r="J40" s="927"/>
      <c r="K40" s="927"/>
      <c r="L40" s="927"/>
      <c r="M40" s="1604"/>
      <c r="N40" s="1506"/>
      <c r="O40" s="1507"/>
      <c r="P40" s="1584"/>
      <c r="R40" s="52" t="s">
        <v>1304</v>
      </c>
      <c r="S40" s="84">
        <f>LARGE($S$39:$AI$39,1)</f>
        <v>0</v>
      </c>
      <c r="T40" s="84">
        <f>LARGE($S$39:$AI$39,2)</f>
        <v>0</v>
      </c>
      <c r="U40" s="84">
        <f>LARGE($S$39:$AI$39,3)</f>
        <v>0</v>
      </c>
      <c r="V40" s="84">
        <f>LARGE($S$39:$AI$39,4)</f>
        <v>0</v>
      </c>
      <c r="W40" s="84">
        <f>LARGE($S$39:$AI$39,5)</f>
        <v>0</v>
      </c>
      <c r="X40" s="84">
        <f>LARGE($S$39:$AI$39,6)</f>
        <v>0</v>
      </c>
      <c r="Y40" s="84">
        <f>LARGE($S$39:$AI$39,7)</f>
        <v>0</v>
      </c>
      <c r="Z40" s="84">
        <f>LARGE($S$39:$AI$39,8)</f>
        <v>0</v>
      </c>
      <c r="AA40" s="84">
        <f>LARGE($S$39:$AI$39,9)</f>
        <v>0</v>
      </c>
      <c r="AB40" s="84">
        <f>LARGE($S$39:$AI$39,10)</f>
        <v>0</v>
      </c>
      <c r="AC40" s="84">
        <f>LARGE($S$39:$AI$39,11)</f>
        <v>0</v>
      </c>
      <c r="AD40" s="84">
        <f>LARGE($S$39:$AI$39,12)</f>
        <v>0</v>
      </c>
      <c r="AE40" s="84">
        <f>LARGE($S$39:$AI$39,13)</f>
        <v>0</v>
      </c>
      <c r="AF40" s="84">
        <f>LARGE($S$39:$AI$39,14)</f>
        <v>0</v>
      </c>
      <c r="AG40" s="84">
        <f>LARGE($S$39:$AI$39,15)</f>
        <v>0</v>
      </c>
      <c r="AH40" s="84">
        <f>LARGE($S$39:$AI$39,16)</f>
        <v>0</v>
      </c>
      <c r="AI40" s="84">
        <f>LARGE($S$39:$AI$39,17)</f>
        <v>0</v>
      </c>
      <c r="AJ40" s="6"/>
      <c r="AK40" s="6"/>
      <c r="AL40" s="6"/>
      <c r="AM40" s="6"/>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3">
      <c r="B41" s="18" t="s">
        <v>994</v>
      </c>
      <c r="C41" s="18" t="s">
        <v>995</v>
      </c>
      <c r="D41" s="18" t="s">
        <v>996</v>
      </c>
      <c r="E41" s="18" t="s">
        <v>997</v>
      </c>
      <c r="F41" s="18" t="s">
        <v>998</v>
      </c>
      <c r="G41" s="18" t="s">
        <v>999</v>
      </c>
      <c r="H41" s="18" t="s">
        <v>1000</v>
      </c>
      <c r="I41" s="927" t="s">
        <v>1941</v>
      </c>
      <c r="J41" s="927"/>
      <c r="K41" s="927"/>
      <c r="L41" s="927"/>
      <c r="M41" s="1604"/>
      <c r="N41" s="1506"/>
      <c r="O41" s="1507"/>
      <c r="P41" s="1584"/>
      <c r="R41" s="52" t="s">
        <v>1305</v>
      </c>
      <c r="S41" s="12">
        <f>S40+T40*(1-S40)</f>
        <v>0</v>
      </c>
      <c r="T41" s="12">
        <f>S42+U40*(1-S42)</f>
        <v>0</v>
      </c>
      <c r="U41" s="12">
        <f t="shared" ref="U41:AH41" si="7">T42+V40*(1-T42)</f>
        <v>0</v>
      </c>
      <c r="V41" s="12">
        <f t="shared" si="7"/>
        <v>0</v>
      </c>
      <c r="W41" s="12">
        <f t="shared" si="7"/>
        <v>0</v>
      </c>
      <c r="X41" s="12">
        <f t="shared" si="7"/>
        <v>0</v>
      </c>
      <c r="Y41" s="12">
        <f t="shared" si="7"/>
        <v>0</v>
      </c>
      <c r="Z41" s="12">
        <f t="shared" si="7"/>
        <v>0</v>
      </c>
      <c r="AA41" s="12">
        <f t="shared" si="7"/>
        <v>0</v>
      </c>
      <c r="AB41" s="12">
        <f t="shared" si="7"/>
        <v>0</v>
      </c>
      <c r="AC41" s="12">
        <f t="shared" si="7"/>
        <v>0</v>
      </c>
      <c r="AD41" s="12">
        <f t="shared" si="7"/>
        <v>0</v>
      </c>
      <c r="AE41" s="12">
        <f t="shared" si="7"/>
        <v>0</v>
      </c>
      <c r="AF41" s="12">
        <f t="shared" si="7"/>
        <v>0</v>
      </c>
      <c r="AG41" s="12">
        <f t="shared" si="7"/>
        <v>0</v>
      </c>
      <c r="AH41" s="12">
        <f t="shared" si="7"/>
        <v>0</v>
      </c>
      <c r="AI41" s="6"/>
      <c r="AJ41" s="6"/>
      <c r="AK41" s="6"/>
      <c r="AL41" s="6"/>
      <c r="AM41" s="6"/>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3">
      <c r="B42" s="248">
        <f>H14</f>
        <v>0</v>
      </c>
      <c r="C42" s="248">
        <f>H15</f>
        <v>0</v>
      </c>
      <c r="D42" s="248">
        <f>H16</f>
        <v>0</v>
      </c>
      <c r="E42" s="248">
        <f>H17</f>
        <v>0</v>
      </c>
      <c r="F42" s="248">
        <f>H18</f>
        <v>0</v>
      </c>
      <c r="G42" s="248">
        <f>H19</f>
        <v>0</v>
      </c>
      <c r="H42" s="248">
        <f>H20</f>
        <v>0</v>
      </c>
      <c r="I42" s="927" t="s">
        <v>1941</v>
      </c>
      <c r="J42" s="927"/>
      <c r="K42" s="927"/>
      <c r="L42" s="927"/>
      <c r="M42" s="1604"/>
      <c r="N42" s="1506"/>
      <c r="O42" s="1507"/>
      <c r="P42" s="1584"/>
      <c r="R42" s="52" t="s">
        <v>1306</v>
      </c>
      <c r="S42" s="84">
        <f>ROUND(S41,2)</f>
        <v>0</v>
      </c>
      <c r="T42" s="84">
        <f>ROUND(T41,2)</f>
        <v>0</v>
      </c>
      <c r="U42" s="84">
        <f t="shared" ref="U42:AD42" si="8">ROUND(U41,2)</f>
        <v>0</v>
      </c>
      <c r="V42" s="84">
        <f t="shared" si="8"/>
        <v>0</v>
      </c>
      <c r="W42" s="84">
        <f t="shared" si="8"/>
        <v>0</v>
      </c>
      <c r="X42" s="84">
        <f t="shared" si="8"/>
        <v>0</v>
      </c>
      <c r="Y42" s="84">
        <f t="shared" si="8"/>
        <v>0</v>
      </c>
      <c r="Z42" s="84">
        <f t="shared" si="8"/>
        <v>0</v>
      </c>
      <c r="AA42" s="84">
        <f t="shared" si="8"/>
        <v>0</v>
      </c>
      <c r="AB42" s="84">
        <f t="shared" si="8"/>
        <v>0</v>
      </c>
      <c r="AC42" s="84">
        <f t="shared" si="8"/>
        <v>0</v>
      </c>
      <c r="AD42" s="84">
        <f t="shared" si="8"/>
        <v>0</v>
      </c>
      <c r="AE42" s="84">
        <f>ROUND(AE41,2)</f>
        <v>0</v>
      </c>
      <c r="AF42" s="84">
        <f>ROUND(AF41,2)</f>
        <v>0</v>
      </c>
      <c r="AG42" s="84">
        <f>ROUND(AG41,2)</f>
        <v>0</v>
      </c>
      <c r="AH42" s="84">
        <f>ROUND(AH41,2)</f>
        <v>0</v>
      </c>
      <c r="AI42" s="6"/>
      <c r="AJ42" s="6"/>
      <c r="AK42" s="6"/>
      <c r="AL42" s="6"/>
      <c r="AM42" s="6"/>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3">
      <c r="B43" s="764" t="s">
        <v>1341</v>
      </c>
      <c r="C43" s="765"/>
      <c r="D43" s="765"/>
      <c r="E43" s="765"/>
      <c r="F43" s="765"/>
      <c r="G43" s="765"/>
      <c r="H43" s="766"/>
      <c r="I43" s="927" t="s">
        <v>1941</v>
      </c>
      <c r="J43" s="927"/>
      <c r="K43" s="927"/>
      <c r="L43" s="927"/>
      <c r="M43" s="1604"/>
      <c r="N43" s="1506"/>
      <c r="O43" s="1507"/>
      <c r="P43" s="1584"/>
      <c r="R43" s="7"/>
      <c r="S43" s="34"/>
      <c r="T43" s="77"/>
      <c r="U43" s="109"/>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3">
      <c r="B44" s="18" t="s">
        <v>994</v>
      </c>
      <c r="C44" s="18" t="s">
        <v>995</v>
      </c>
      <c r="D44" s="18" t="s">
        <v>996</v>
      </c>
      <c r="E44" s="18" t="s">
        <v>997</v>
      </c>
      <c r="F44" s="18" t="s">
        <v>998</v>
      </c>
      <c r="G44" s="18" t="s">
        <v>999</v>
      </c>
      <c r="H44" s="18" t="s">
        <v>1000</v>
      </c>
      <c r="I44" s="927" t="s">
        <v>1941</v>
      </c>
      <c r="J44" s="927"/>
      <c r="K44" s="927"/>
      <c r="L44" s="927"/>
      <c r="M44" s="1604"/>
      <c r="N44" s="1506"/>
      <c r="O44" s="1507"/>
      <c r="P44" s="1584"/>
      <c r="R44" s="6"/>
      <c r="S44" s="6"/>
      <c r="T44" s="6"/>
      <c r="U44" s="6"/>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3">
      <c r="B45" s="248">
        <f>O14</f>
        <v>0</v>
      </c>
      <c r="C45" s="248">
        <f>O15</f>
        <v>0</v>
      </c>
      <c r="D45" s="248">
        <f>O16</f>
        <v>0</v>
      </c>
      <c r="E45" s="248">
        <f>O17</f>
        <v>0</v>
      </c>
      <c r="F45" s="248">
        <f>O18</f>
        <v>0</v>
      </c>
      <c r="G45" s="248">
        <f>O19</f>
        <v>0</v>
      </c>
      <c r="H45" s="248">
        <f>O20</f>
        <v>0</v>
      </c>
      <c r="I45" s="927" t="s">
        <v>1941</v>
      </c>
      <c r="J45" s="927"/>
      <c r="K45" s="927"/>
      <c r="L45" s="927"/>
      <c r="M45" s="1604"/>
      <c r="N45" s="1506"/>
      <c r="O45" s="1507"/>
      <c r="P45" s="1584"/>
      <c r="R45" s="6"/>
      <c r="S45" s="34"/>
      <c r="T45" s="77"/>
      <c r="U45" s="109"/>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3">
      <c r="B46" s="806" t="s">
        <v>1342</v>
      </c>
      <c r="C46" s="806"/>
      <c r="D46" s="806"/>
      <c r="E46" s="806"/>
      <c r="F46" s="806"/>
      <c r="G46" s="770">
        <f>P31</f>
        <v>0</v>
      </c>
      <c r="H46" s="770"/>
      <c r="I46" s="927" t="s">
        <v>1941</v>
      </c>
      <c r="J46" s="927"/>
      <c r="K46" s="927"/>
      <c r="L46" s="927"/>
      <c r="M46" s="1604"/>
      <c r="N46" s="1506"/>
      <c r="O46" s="1507"/>
      <c r="P46" s="1584"/>
      <c r="R46" s="7"/>
      <c r="S46" s="34"/>
      <c r="T46" s="77"/>
      <c r="U46" s="109"/>
      <c r="V46" s="102"/>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3">
      <c r="B47" s="806" t="s">
        <v>596</v>
      </c>
      <c r="C47" s="806"/>
      <c r="D47" s="806"/>
      <c r="E47" s="806"/>
      <c r="F47" s="806"/>
      <c r="G47" s="936">
        <f>P33</f>
        <v>0</v>
      </c>
      <c r="H47" s="936"/>
      <c r="I47" s="1582"/>
      <c r="J47" s="1583"/>
      <c r="K47" s="1484">
        <f>IF(I47="",0,IF(AND(G47*I47&gt;0,G47*I47&lt;0.01),0.01,ROUND(G47*I47,2)))</f>
        <v>0</v>
      </c>
      <c r="L47" s="1484"/>
      <c r="M47" s="1605"/>
      <c r="N47" s="1508"/>
      <c r="O47" s="1509"/>
      <c r="P47" s="1584"/>
      <c r="S47" s="34"/>
      <c r="T47" s="77"/>
      <c r="U47" s="109"/>
      <c r="V47" s="102"/>
      <c r="W47" s="102"/>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3">
      <c r="B48" s="925"/>
      <c r="C48" s="925"/>
      <c r="D48" s="925"/>
      <c r="E48" s="925"/>
      <c r="F48" s="925"/>
      <c r="G48" s="925"/>
      <c r="H48" s="925"/>
      <c r="I48" s="925"/>
      <c r="J48" s="925"/>
      <c r="K48" s="1606" t="s">
        <v>1592</v>
      </c>
      <c r="L48" s="1607"/>
      <c r="M48" s="1607"/>
      <c r="N48" s="1607"/>
      <c r="O48" s="1608"/>
      <c r="P48" s="1584"/>
      <c r="R48" s="34"/>
      <c r="S48" s="77"/>
      <c r="T48" s="109"/>
      <c r="U48" s="6"/>
      <c r="V48" s="102"/>
      <c r="W48" s="102"/>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2" customHeight="1" x14ac:dyDescent="0.3">
      <c r="B49" s="792"/>
      <c r="C49" s="792"/>
      <c r="D49" s="792"/>
      <c r="E49" s="792"/>
      <c r="F49" s="792"/>
      <c r="G49" s="792"/>
      <c r="H49" s="792"/>
      <c r="I49" s="792"/>
      <c r="J49" s="792"/>
      <c r="K49" s="792"/>
      <c r="L49" s="792"/>
      <c r="M49" s="792"/>
      <c r="N49" s="792"/>
      <c r="O49" s="792"/>
      <c r="P49" s="792"/>
      <c r="R49" s="6"/>
      <c r="S49" s="6"/>
      <c r="T49" s="927" t="s">
        <v>211</v>
      </c>
      <c r="U49" s="6"/>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26.25" customHeight="1" x14ac:dyDescent="0.3">
      <c r="B50" s="878" t="s">
        <v>1678</v>
      </c>
      <c r="C50" s="878"/>
      <c r="D50" s="878"/>
      <c r="E50" s="878"/>
      <c r="F50" s="878"/>
      <c r="G50" s="878"/>
      <c r="H50" s="878"/>
      <c r="I50" s="878"/>
      <c r="J50" s="878"/>
      <c r="K50" s="878"/>
      <c r="L50" s="878"/>
      <c r="M50" s="878"/>
      <c r="N50" s="878"/>
      <c r="O50" s="878"/>
      <c r="P50" s="872">
        <f>U53</f>
        <v>0</v>
      </c>
      <c r="R50" s="6"/>
      <c r="S50" s="105" t="s">
        <v>1597</v>
      </c>
      <c r="T50" s="927"/>
      <c r="U50" s="673" t="s">
        <v>1156</v>
      </c>
      <c r="V50" s="5"/>
      <c r="W50" s="106"/>
      <c r="X50" s="107"/>
      <c r="Y50" s="102"/>
      <c r="Z50" s="102"/>
      <c r="AA50" s="102"/>
      <c r="AB50" s="102"/>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3">
      <c r="B51" s="776" t="s">
        <v>447</v>
      </c>
      <c r="C51" s="776"/>
      <c r="D51" s="776"/>
      <c r="E51" s="776"/>
      <c r="F51" s="776"/>
      <c r="G51" s="776"/>
      <c r="H51" s="776"/>
      <c r="I51" s="776"/>
      <c r="J51" s="708"/>
      <c r="K51" s="708"/>
      <c r="L51" s="146"/>
      <c r="M51" s="762">
        <f>'Sp-Table'!N9</f>
        <v>0</v>
      </c>
      <c r="N51" s="762"/>
      <c r="O51" s="43"/>
      <c r="P51" s="846"/>
      <c r="R51" s="6"/>
      <c r="S51" s="13">
        <v>50</v>
      </c>
      <c r="T51" s="13" t="str">
        <f>IF(OR(J51="",J51="NA"),"",IF(J51&gt;S51,S51,IF(J51&lt;0,0,J51)))</f>
        <v/>
      </c>
      <c r="U51" s="12">
        <f>SUM(M51:M53)</f>
        <v>0</v>
      </c>
      <c r="V51" s="5"/>
      <c r="W51" s="106"/>
      <c r="X51" s="102"/>
      <c r="Y51" s="102"/>
      <c r="Z51" s="6"/>
      <c r="AA51" s="6"/>
      <c r="AB51" s="6"/>
      <c r="AC51" s="6"/>
      <c r="AD51" s="6"/>
      <c r="AE51" s="6"/>
      <c r="AF51" s="6"/>
      <c r="AG51" s="6"/>
      <c r="AH51" s="102"/>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3">
      <c r="B52" s="776" t="s">
        <v>448</v>
      </c>
      <c r="C52" s="776"/>
      <c r="D52" s="776"/>
      <c r="E52" s="776"/>
      <c r="F52" s="776"/>
      <c r="G52" s="776"/>
      <c r="H52" s="776"/>
      <c r="I52" s="776"/>
      <c r="J52" s="708"/>
      <c r="K52" s="708"/>
      <c r="L52" s="146"/>
      <c r="M52" s="762">
        <f>'Sp-Table'!N10</f>
        <v>0</v>
      </c>
      <c r="N52" s="762"/>
      <c r="O52" s="43"/>
      <c r="P52" s="846"/>
      <c r="R52" s="6"/>
      <c r="S52" s="13">
        <v>30</v>
      </c>
      <c r="T52" s="13" t="str">
        <f>IF(OR(J52="",J52="NA"),"",IF(J52&gt;S52,S52,IF(J52&lt;0,0,J52)))</f>
        <v/>
      </c>
      <c r="U52" s="35">
        <f>IF(AND(U51&gt;0,U51&lt;0.01),0.01,U51)</f>
        <v>0</v>
      </c>
      <c r="V52" s="5"/>
      <c r="W52" s="106"/>
      <c r="X52" s="107"/>
      <c r="Y52" s="102"/>
      <c r="Z52" s="102"/>
      <c r="AA52" s="102"/>
      <c r="AB52" s="102"/>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3">
      <c r="B53" s="776" t="s">
        <v>449</v>
      </c>
      <c r="C53" s="776"/>
      <c r="D53" s="776"/>
      <c r="E53" s="776"/>
      <c r="F53" s="776"/>
      <c r="G53" s="776"/>
      <c r="H53" s="776"/>
      <c r="I53" s="776"/>
      <c r="J53" s="708"/>
      <c r="K53" s="708"/>
      <c r="L53" s="146"/>
      <c r="M53" s="762">
        <f>'Sp-Table'!N11</f>
        <v>0</v>
      </c>
      <c r="N53" s="762"/>
      <c r="O53" s="43"/>
      <c r="P53" s="846"/>
      <c r="R53" s="6"/>
      <c r="S53" s="13">
        <v>30</v>
      </c>
      <c r="T53" s="13" t="str">
        <f>IF(OR(J53="",J53="NA"),"",IF(J53&gt;S53,S53,IF(J53&lt;0,0,J53)))</f>
        <v/>
      </c>
      <c r="U53" s="12">
        <f>ROUND(U52,2)</f>
        <v>0</v>
      </c>
      <c r="V53" s="5"/>
      <c r="W53" s="106"/>
      <c r="X53" s="6"/>
      <c r="Y53" s="6"/>
      <c r="Z53" s="6"/>
      <c r="AA53" s="6"/>
      <c r="AB53" s="6"/>
      <c r="AC53" s="6"/>
      <c r="AD53" s="6"/>
      <c r="AE53" s="6"/>
      <c r="AF53" s="6"/>
      <c r="AG53" s="6"/>
      <c r="AH53" s="102"/>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3">
      <c r="B54" s="1142" t="s">
        <v>1933</v>
      </c>
      <c r="C54" s="1142"/>
      <c r="D54" s="1142"/>
      <c r="E54" s="1142"/>
      <c r="F54" s="1142"/>
      <c r="G54" s="1142"/>
      <c r="H54" s="1142"/>
      <c r="I54" s="1142"/>
      <c r="J54" s="1142"/>
      <c r="K54" s="1142"/>
      <c r="L54" s="1142"/>
      <c r="M54" s="1142"/>
      <c r="N54" s="1142"/>
      <c r="O54" s="1142"/>
      <c r="P54" s="847"/>
      <c r="R54" s="6"/>
      <c r="S54" s="6"/>
      <c r="T54" s="6"/>
      <c r="U54" s="6"/>
      <c r="V54" s="5"/>
      <c r="W54" s="106"/>
      <c r="X54" s="6"/>
      <c r="Y54" s="6"/>
      <c r="Z54" s="6"/>
      <c r="AA54" s="6"/>
      <c r="AB54" s="6"/>
      <c r="AC54" s="6"/>
      <c r="AD54" s="6"/>
      <c r="AE54" s="6"/>
      <c r="AF54" s="6"/>
      <c r="AG54" s="6"/>
      <c r="AH54" s="102"/>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3">
      <c r="B55" s="1506"/>
      <c r="C55" s="1506"/>
      <c r="D55" s="1506"/>
      <c r="E55" s="1506"/>
      <c r="F55" s="1506"/>
      <c r="G55" s="1506"/>
      <c r="H55" s="1506"/>
      <c r="I55" s="1506"/>
      <c r="J55" s="1506"/>
      <c r="K55" s="1506"/>
      <c r="L55" s="1506"/>
      <c r="M55" s="1506"/>
      <c r="N55" s="1506"/>
      <c r="O55" s="1506"/>
      <c r="P55" s="174"/>
      <c r="R55" s="6"/>
      <c r="S55" s="6"/>
      <c r="T55" s="6"/>
      <c r="U55" s="6"/>
      <c r="V55" s="5"/>
      <c r="W55" s="106"/>
      <c r="X55" s="6"/>
      <c r="Y55" s="6"/>
      <c r="Z55" s="6"/>
      <c r="AA55" s="6"/>
      <c r="AB55" s="6"/>
      <c r="AC55" s="6"/>
      <c r="AD55" s="6"/>
      <c r="AE55" s="6"/>
      <c r="AF55" s="6"/>
      <c r="AG55" s="6"/>
      <c r="AH55" s="102"/>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3">
      <c r="B56" s="1591" t="s">
        <v>450</v>
      </c>
      <c r="C56" s="1592"/>
      <c r="D56" s="1592"/>
      <c r="E56" s="1593"/>
      <c r="F56" s="4" t="s">
        <v>451</v>
      </c>
      <c r="G56" s="40"/>
      <c r="H56" s="21">
        <f>IF(OR(G56="NA",G56=0,G56=""),0,IF(G56/100&lt;=0.25,0.02,IF(G56/100&lt;=0.5,0.03,IF(G56/100&gt;0.5,0.05,""))))</f>
        <v>0</v>
      </c>
      <c r="I56" s="1591" t="s">
        <v>2283</v>
      </c>
      <c r="J56" s="1592"/>
      <c r="K56" s="1592"/>
      <c r="L56" s="1593"/>
      <c r="M56" s="18" t="s">
        <v>451</v>
      </c>
      <c r="N56" s="40"/>
      <c r="O56" s="49">
        <f t="shared" ref="O56:O67" si="9">IF(N56="X",0.02,0)</f>
        <v>0</v>
      </c>
      <c r="P56" s="957"/>
      <c r="R56" s="6"/>
      <c r="U56" s="6"/>
      <c r="V56" s="5"/>
      <c r="W56" s="106"/>
      <c r="X56" s="6"/>
      <c r="Y56" s="6"/>
      <c r="Z56" s="6"/>
      <c r="AA56" s="6"/>
      <c r="AB56" s="6"/>
      <c r="AC56" s="6"/>
      <c r="AD56" s="6"/>
      <c r="AE56" s="6"/>
      <c r="AF56" s="6"/>
      <c r="AG56" s="6"/>
      <c r="AH56" s="102"/>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8" customHeight="1" x14ac:dyDescent="0.3">
      <c r="B57" s="1594"/>
      <c r="C57" s="1595"/>
      <c r="D57" s="1595"/>
      <c r="E57" s="1596"/>
      <c r="F57" s="26" t="s">
        <v>452</v>
      </c>
      <c r="G57" s="40"/>
      <c r="H57" s="21">
        <f t="shared" ref="H57:H67" si="10">IF(OR(G57="NA",G57=0,G57=""),0,IF(G57/100&lt;=0.25,0.02,IF(G57/100&lt;=0.5,0.03,IF(G57/100&gt;0.5,0.05,""))))</f>
        <v>0</v>
      </c>
      <c r="I57" s="1594"/>
      <c r="J57" s="1595"/>
      <c r="K57" s="1595"/>
      <c r="L57" s="1596"/>
      <c r="M57" s="20" t="s">
        <v>452</v>
      </c>
      <c r="N57" s="40"/>
      <c r="O57" s="49">
        <f t="shared" si="9"/>
        <v>0</v>
      </c>
      <c r="P57" s="1600"/>
      <c r="R57" s="6"/>
      <c r="U57" s="6"/>
      <c r="V57" s="5"/>
      <c r="W57" s="106"/>
      <c r="X57" s="6"/>
      <c r="Y57" s="6"/>
      <c r="Z57" s="6"/>
      <c r="AA57" s="6"/>
      <c r="AB57" s="6"/>
      <c r="AC57" s="6"/>
      <c r="AD57" s="6"/>
      <c r="AE57" s="6"/>
      <c r="AF57" s="6"/>
      <c r="AG57" s="6"/>
      <c r="AH57" s="102"/>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18" customHeight="1" x14ac:dyDescent="0.3">
      <c r="B58" s="1594"/>
      <c r="C58" s="1595"/>
      <c r="D58" s="1595"/>
      <c r="E58" s="1596"/>
      <c r="F58" s="26" t="s">
        <v>453</v>
      </c>
      <c r="G58" s="40"/>
      <c r="H58" s="21">
        <f t="shared" si="10"/>
        <v>0</v>
      </c>
      <c r="I58" s="1594"/>
      <c r="J58" s="1595"/>
      <c r="K58" s="1595"/>
      <c r="L58" s="1596"/>
      <c r="M58" s="20" t="s">
        <v>453</v>
      </c>
      <c r="N58" s="40"/>
      <c r="O58" s="49">
        <f t="shared" si="9"/>
        <v>0</v>
      </c>
      <c r="P58" s="1600"/>
      <c r="R58" s="6"/>
      <c r="S58" s="6"/>
      <c r="T58" s="6"/>
      <c r="U58" s="6"/>
      <c r="V58" s="5"/>
      <c r="W58" s="106"/>
      <c r="X58" s="6"/>
      <c r="Y58" s="6"/>
      <c r="Z58" s="6"/>
      <c r="AA58" s="6"/>
      <c r="AB58" s="6"/>
      <c r="AC58" s="6"/>
      <c r="AD58" s="6"/>
      <c r="AE58" s="6"/>
      <c r="AF58" s="6"/>
      <c r="AG58" s="6"/>
      <c r="AH58" s="102"/>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3">
      <c r="B59" s="1594"/>
      <c r="C59" s="1595"/>
      <c r="D59" s="1595"/>
      <c r="E59" s="1596"/>
      <c r="F59" s="26" t="s">
        <v>454</v>
      </c>
      <c r="G59" s="40"/>
      <c r="H59" s="21">
        <f t="shared" si="10"/>
        <v>0</v>
      </c>
      <c r="I59" s="1594"/>
      <c r="J59" s="1595"/>
      <c r="K59" s="1595"/>
      <c r="L59" s="1596"/>
      <c r="M59" s="25" t="s">
        <v>454</v>
      </c>
      <c r="N59" s="40"/>
      <c r="O59" s="49">
        <f t="shared" si="9"/>
        <v>0</v>
      </c>
      <c r="P59" s="1600"/>
      <c r="R59" s="6"/>
      <c r="S59" s="6"/>
      <c r="T59" s="6"/>
      <c r="U59" s="6"/>
      <c r="V59" s="5"/>
      <c r="W59" s="106"/>
      <c r="X59" s="6"/>
      <c r="Y59" s="6"/>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3">
      <c r="B60" s="1594"/>
      <c r="C60" s="1595"/>
      <c r="D60" s="1595"/>
      <c r="E60" s="1596"/>
      <c r="F60" s="26" t="s">
        <v>1757</v>
      </c>
      <c r="G60" s="40"/>
      <c r="H60" s="21">
        <f t="shared" si="10"/>
        <v>0</v>
      </c>
      <c r="I60" s="1594"/>
      <c r="J60" s="1595"/>
      <c r="K60" s="1595"/>
      <c r="L60" s="1596"/>
      <c r="M60" s="26" t="s">
        <v>1757</v>
      </c>
      <c r="N60" s="40"/>
      <c r="O60" s="49">
        <f t="shared" si="9"/>
        <v>0</v>
      </c>
      <c r="P60" s="1600"/>
      <c r="R60" s="6"/>
      <c r="U60" s="6"/>
      <c r="V60" s="5"/>
      <c r="W60" s="106"/>
      <c r="X60" s="6"/>
      <c r="Y60" s="6"/>
      <c r="Z60" s="6"/>
      <c r="AA60" s="6"/>
      <c r="AB60" s="6"/>
      <c r="AC60" s="6"/>
      <c r="AD60" s="6"/>
      <c r="AE60" s="6"/>
      <c r="AF60" s="6"/>
      <c r="AG60" s="6"/>
      <c r="AH60" s="102"/>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3">
      <c r="B61" s="1594"/>
      <c r="C61" s="1595"/>
      <c r="D61" s="1595"/>
      <c r="E61" s="1596"/>
      <c r="F61" s="26" t="s">
        <v>1758</v>
      </c>
      <c r="G61" s="40"/>
      <c r="H61" s="21">
        <f t="shared" si="10"/>
        <v>0</v>
      </c>
      <c r="I61" s="1594"/>
      <c r="J61" s="1595"/>
      <c r="K61" s="1595"/>
      <c r="L61" s="1596"/>
      <c r="M61" s="27" t="s">
        <v>1758</v>
      </c>
      <c r="N61" s="40"/>
      <c r="O61" s="49">
        <f t="shared" si="9"/>
        <v>0</v>
      </c>
      <c r="P61" s="1600"/>
      <c r="R61" s="6"/>
      <c r="U61" s="6"/>
      <c r="V61" s="5"/>
      <c r="W61" s="106"/>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3">
      <c r="B62" s="1594"/>
      <c r="C62" s="1595"/>
      <c r="D62" s="1595"/>
      <c r="E62" s="1596"/>
      <c r="F62" s="26" t="s">
        <v>1759</v>
      </c>
      <c r="G62" s="40"/>
      <c r="H62" s="21">
        <f t="shared" si="10"/>
        <v>0</v>
      </c>
      <c r="I62" s="1594"/>
      <c r="J62" s="1595"/>
      <c r="K62" s="1595"/>
      <c r="L62" s="1596"/>
      <c r="M62" s="28" t="s">
        <v>1759</v>
      </c>
      <c r="N62" s="40"/>
      <c r="O62" s="49">
        <f t="shared" si="9"/>
        <v>0</v>
      </c>
      <c r="P62" s="1600"/>
      <c r="R62" s="6"/>
      <c r="U62" s="6"/>
      <c r="V62" s="5"/>
      <c r="W62" s="106"/>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3">
      <c r="B63" s="1594"/>
      <c r="C63" s="1595"/>
      <c r="D63" s="1595"/>
      <c r="E63" s="1596"/>
      <c r="F63" s="26" t="s">
        <v>1760</v>
      </c>
      <c r="G63" s="40"/>
      <c r="H63" s="21">
        <f t="shared" si="10"/>
        <v>0</v>
      </c>
      <c r="I63" s="1594"/>
      <c r="J63" s="1595"/>
      <c r="K63" s="1595"/>
      <c r="L63" s="1596"/>
      <c r="M63" s="38" t="s">
        <v>1760</v>
      </c>
      <c r="N63" s="40"/>
      <c r="O63" s="49">
        <f t="shared" si="9"/>
        <v>0</v>
      </c>
      <c r="P63" s="1600"/>
      <c r="R63" s="6"/>
      <c r="U63" s="6"/>
      <c r="V63" s="5"/>
      <c r="W63" s="106"/>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3">
      <c r="B64" s="1594"/>
      <c r="C64" s="1595"/>
      <c r="D64" s="1595"/>
      <c r="E64" s="1596"/>
      <c r="F64" s="26" t="s">
        <v>1761</v>
      </c>
      <c r="G64" s="40"/>
      <c r="H64" s="21">
        <f t="shared" si="10"/>
        <v>0</v>
      </c>
      <c r="I64" s="1594"/>
      <c r="J64" s="1595"/>
      <c r="K64" s="1595"/>
      <c r="L64" s="1596"/>
      <c r="M64" s="37" t="s">
        <v>1761</v>
      </c>
      <c r="N64" s="40"/>
      <c r="O64" s="49">
        <f t="shared" si="9"/>
        <v>0</v>
      </c>
      <c r="P64" s="1600"/>
      <c r="R64" s="6"/>
      <c r="S64" s="6"/>
      <c r="T64" s="6"/>
      <c r="U64" s="6"/>
      <c r="V64" s="5"/>
      <c r="W64" s="106"/>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3">
      <c r="B65" s="1594"/>
      <c r="C65" s="1595"/>
      <c r="D65" s="1595"/>
      <c r="E65" s="1596"/>
      <c r="F65" s="26" t="s">
        <v>1762</v>
      </c>
      <c r="G65" s="40"/>
      <c r="H65" s="21">
        <f t="shared" si="10"/>
        <v>0</v>
      </c>
      <c r="I65" s="1594"/>
      <c r="J65" s="1595"/>
      <c r="K65" s="1595"/>
      <c r="L65" s="1596"/>
      <c r="M65" s="37" t="s">
        <v>1762</v>
      </c>
      <c r="N65" s="40"/>
      <c r="O65" s="49">
        <f t="shared" si="9"/>
        <v>0</v>
      </c>
      <c r="P65" s="1600"/>
      <c r="R65" s="6"/>
      <c r="S65" s="6"/>
      <c r="T65" s="6"/>
      <c r="U65" s="6"/>
      <c r="V65" s="5"/>
      <c r="W65" s="106"/>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3">
      <c r="B66" s="1594"/>
      <c r="C66" s="1595"/>
      <c r="D66" s="1595"/>
      <c r="E66" s="1596"/>
      <c r="F66" s="26" t="s">
        <v>1763</v>
      </c>
      <c r="G66" s="40"/>
      <c r="H66" s="21">
        <f t="shared" si="10"/>
        <v>0</v>
      </c>
      <c r="I66" s="1594"/>
      <c r="J66" s="1595"/>
      <c r="K66" s="1595"/>
      <c r="L66" s="1596"/>
      <c r="M66" s="37" t="s">
        <v>1763</v>
      </c>
      <c r="N66" s="40"/>
      <c r="O66" s="49">
        <f t="shared" si="9"/>
        <v>0</v>
      </c>
      <c r="P66" s="1600"/>
      <c r="R66" s="6"/>
      <c r="S66" s="6"/>
      <c r="T66" s="6"/>
      <c r="U66" s="6"/>
      <c r="V66" s="5"/>
      <c r="W66" s="106"/>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3">
      <c r="B67" s="1597"/>
      <c r="C67" s="1598"/>
      <c r="D67" s="1598"/>
      <c r="E67" s="1599"/>
      <c r="F67" s="26" t="s">
        <v>1764</v>
      </c>
      <c r="G67" s="40"/>
      <c r="H67" s="21">
        <f t="shared" si="10"/>
        <v>0</v>
      </c>
      <c r="I67" s="1597"/>
      <c r="J67" s="1598"/>
      <c r="K67" s="1598"/>
      <c r="L67" s="1599"/>
      <c r="M67" s="37" t="s">
        <v>1764</v>
      </c>
      <c r="N67" s="40"/>
      <c r="O67" s="21">
        <f t="shared" si="9"/>
        <v>0</v>
      </c>
      <c r="P67" s="915"/>
      <c r="R67" s="6"/>
      <c r="S67" s="6"/>
      <c r="T67" s="6"/>
      <c r="U67" s="6"/>
      <c r="V67" s="5"/>
      <c r="W67" s="106"/>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3">
      <c r="B68" s="878" t="s">
        <v>1765</v>
      </c>
      <c r="C68" s="878"/>
      <c r="D68" s="878"/>
      <c r="E68" s="878"/>
      <c r="F68" s="878"/>
      <c r="G68" s="878"/>
      <c r="H68" s="878"/>
      <c r="I68" s="878"/>
      <c r="J68" s="878"/>
      <c r="K68" s="878"/>
      <c r="L68" s="878"/>
      <c r="M68" s="878"/>
      <c r="N68" s="878"/>
      <c r="O68" s="878"/>
      <c r="R68" s="6"/>
      <c r="S68" s="6"/>
      <c r="T68" s="6"/>
      <c r="U68" s="6"/>
      <c r="V68" s="5"/>
      <c r="W68" s="106"/>
      <c r="X68" s="107"/>
      <c r="Y68" s="102"/>
      <c r="Z68" s="102"/>
      <c r="AA68" s="102"/>
      <c r="AB68" s="102"/>
      <c r="AC68" s="6"/>
      <c r="AD68" s="6"/>
      <c r="AE68" s="6"/>
      <c r="AF68" s="6"/>
      <c r="AG68" s="6"/>
      <c r="AH68" s="6"/>
      <c r="AI68" s="6"/>
      <c r="AJ68" s="6"/>
      <c r="AK68" s="6"/>
      <c r="AL68" s="6"/>
      <c r="AM68" s="6"/>
    </row>
    <row r="69" spans="2:99" ht="29.25" customHeight="1" thickBot="1" x14ac:dyDescent="0.35">
      <c r="B69" s="771" t="s">
        <v>562</v>
      </c>
      <c r="C69" s="772"/>
      <c r="D69" s="772"/>
      <c r="E69" s="772"/>
      <c r="F69" s="772"/>
      <c r="G69" s="772"/>
      <c r="H69" s="772"/>
      <c r="I69" s="772"/>
      <c r="J69" s="772"/>
      <c r="K69" s="772"/>
      <c r="L69" s="772"/>
      <c r="M69" s="772"/>
      <c r="N69" s="772"/>
      <c r="O69" s="773"/>
      <c r="P69" s="1586" t="s">
        <v>2027</v>
      </c>
      <c r="R69" s="6"/>
      <c r="S69" s="1581" t="s">
        <v>2289</v>
      </c>
      <c r="T69" s="1581"/>
      <c r="U69" s="1581"/>
      <c r="V69" s="1581"/>
      <c r="W69" s="1581"/>
      <c r="X69" s="1581"/>
      <c r="Y69" s="1581"/>
      <c r="Z69" s="1581"/>
      <c r="AA69" s="1581"/>
      <c r="AB69" s="1581"/>
      <c r="AC69" s="1581"/>
      <c r="AD69" s="1581"/>
      <c r="AE69" s="1581"/>
      <c r="AF69" s="1581"/>
      <c r="AG69" s="1581"/>
      <c r="AH69" s="1581"/>
      <c r="AI69" s="1581"/>
      <c r="AJ69" s="1581"/>
      <c r="AK69" s="1581"/>
      <c r="AL69" s="1581"/>
      <c r="AM69" s="1581"/>
      <c r="AN69" s="1581"/>
      <c r="AO69" s="1581"/>
      <c r="AP69" s="1581"/>
      <c r="AQ69" s="1581"/>
      <c r="AR69" s="146" t="s">
        <v>776</v>
      </c>
      <c r="AS69" s="146" t="s">
        <v>777</v>
      </c>
    </row>
    <row r="70" spans="2:99" ht="15" customHeight="1" thickBot="1" x14ac:dyDescent="0.35">
      <c r="B70" s="18" t="s">
        <v>775</v>
      </c>
      <c r="C70" s="22" t="s">
        <v>451</v>
      </c>
      <c r="D70" s="22" t="s">
        <v>775</v>
      </c>
      <c r="E70" s="22" t="s">
        <v>452</v>
      </c>
      <c r="F70" s="22" t="s">
        <v>775</v>
      </c>
      <c r="G70" s="22" t="s">
        <v>453</v>
      </c>
      <c r="H70" s="22" t="s">
        <v>775</v>
      </c>
      <c r="I70" s="36" t="s">
        <v>454</v>
      </c>
      <c r="J70" s="36" t="s">
        <v>775</v>
      </c>
      <c r="K70" s="36" t="s">
        <v>1757</v>
      </c>
      <c r="L70" s="36" t="s">
        <v>775</v>
      </c>
      <c r="M70" s="36" t="s">
        <v>1758</v>
      </c>
      <c r="N70" s="22" t="s">
        <v>775</v>
      </c>
      <c r="O70" s="146"/>
      <c r="P70" s="1587"/>
      <c r="R70" s="6"/>
      <c r="S70" s="13">
        <f t="shared" ref="S70:AE70" si="11">IF(B71="X",1,0)</f>
        <v>0</v>
      </c>
      <c r="T70" s="13">
        <f t="shared" si="11"/>
        <v>0</v>
      </c>
      <c r="U70" s="13">
        <f t="shared" si="11"/>
        <v>0</v>
      </c>
      <c r="V70" s="13">
        <f t="shared" si="11"/>
        <v>0</v>
      </c>
      <c r="W70" s="13">
        <f t="shared" si="11"/>
        <v>0</v>
      </c>
      <c r="X70" s="13">
        <f t="shared" si="11"/>
        <v>0</v>
      </c>
      <c r="Y70" s="13">
        <f t="shared" si="11"/>
        <v>0</v>
      </c>
      <c r="Z70" s="13">
        <f t="shared" si="11"/>
        <v>0</v>
      </c>
      <c r="AA70" s="13">
        <f t="shared" si="11"/>
        <v>0</v>
      </c>
      <c r="AB70" s="13">
        <f t="shared" si="11"/>
        <v>0</v>
      </c>
      <c r="AC70" s="13">
        <f t="shared" si="11"/>
        <v>0</v>
      </c>
      <c r="AD70" s="13">
        <f t="shared" si="11"/>
        <v>0</v>
      </c>
      <c r="AE70" s="13">
        <f t="shared" si="11"/>
        <v>0</v>
      </c>
      <c r="AF70" s="13">
        <f t="shared" ref="AF70:AQ70" si="12">IF(B73="X",1,0)</f>
        <v>0</v>
      </c>
      <c r="AG70" s="13">
        <f t="shared" si="12"/>
        <v>0</v>
      </c>
      <c r="AH70" s="13">
        <f t="shared" si="12"/>
        <v>0</v>
      </c>
      <c r="AI70" s="13">
        <f t="shared" si="12"/>
        <v>0</v>
      </c>
      <c r="AJ70" s="13">
        <f t="shared" si="12"/>
        <v>0</v>
      </c>
      <c r="AK70" s="13">
        <f t="shared" si="12"/>
        <v>0</v>
      </c>
      <c r="AL70" s="13">
        <f t="shared" si="12"/>
        <v>0</v>
      </c>
      <c r="AM70" s="13">
        <f t="shared" si="12"/>
        <v>0</v>
      </c>
      <c r="AN70" s="146">
        <f t="shared" si="12"/>
        <v>0</v>
      </c>
      <c r="AO70" s="146">
        <f t="shared" si="12"/>
        <v>0</v>
      </c>
      <c r="AP70" s="146">
        <f t="shared" si="12"/>
        <v>0</v>
      </c>
      <c r="AQ70" s="146">
        <f t="shared" si="12"/>
        <v>0</v>
      </c>
      <c r="AR70" s="146">
        <f>SUM(T70,V70,X70,Z70,AB70,AD70,AF70,AH70,AJ70,AL70,AN70,AP70)</f>
        <v>0</v>
      </c>
      <c r="AS70" s="308">
        <f>SUM(S70,U70,W70,Y70,AA70,AC70,AE70,AG70,AI70,AK70,AM70,AO70,AQ70)</f>
        <v>0</v>
      </c>
      <c r="AT70" s="427">
        <f>IF(AND(AR70=0,AS70=0),0,0.04)</f>
        <v>0</v>
      </c>
      <c r="AU70" s="23" t="str">
        <f>IF(AR70&gt;2,(AR70-2)*0.01,"")</f>
        <v/>
      </c>
      <c r="AV70" s="427" t="str">
        <f>IF(AS70&gt;1,(AS70-1)*0.01,"")</f>
        <v/>
      </c>
      <c r="AW70" s="428">
        <f>SUM(AT70:AV70)</f>
        <v>0</v>
      </c>
    </row>
    <row r="71" spans="2:99" ht="15" customHeight="1" x14ac:dyDescent="0.3">
      <c r="B71" s="40"/>
      <c r="C71" s="40"/>
      <c r="D71" s="40"/>
      <c r="E71" s="40"/>
      <c r="F71" s="40"/>
      <c r="G71" s="40"/>
      <c r="H71" s="40"/>
      <c r="I71" s="40"/>
      <c r="J71" s="40"/>
      <c r="K71" s="40"/>
      <c r="L71" s="40"/>
      <c r="M71" s="40"/>
      <c r="N71" s="40"/>
      <c r="O71" s="44"/>
      <c r="P71" s="1587"/>
      <c r="R71" s="6"/>
      <c r="U71" s="6"/>
      <c r="V71" s="5"/>
      <c r="W71" s="106"/>
      <c r="X71" s="107"/>
      <c r="Y71" s="102"/>
      <c r="Z71" s="102"/>
      <c r="AA71" s="102"/>
      <c r="AB71" s="102"/>
      <c r="AC71" s="6"/>
      <c r="AD71" s="6"/>
      <c r="AE71" s="6"/>
      <c r="AF71" s="6"/>
      <c r="AG71" s="6"/>
      <c r="AH71" s="6"/>
      <c r="AI71" s="6"/>
      <c r="AJ71" s="6"/>
      <c r="AK71" s="6"/>
      <c r="AL71" s="6"/>
      <c r="AM71" s="6"/>
    </row>
    <row r="72" spans="2:99" ht="15" customHeight="1" x14ac:dyDescent="0.3">
      <c r="B72" s="18" t="s">
        <v>1759</v>
      </c>
      <c r="C72" s="22" t="s">
        <v>775</v>
      </c>
      <c r="D72" s="22" t="s">
        <v>1760</v>
      </c>
      <c r="E72" s="22" t="s">
        <v>775</v>
      </c>
      <c r="F72" s="22" t="s">
        <v>1761</v>
      </c>
      <c r="G72" s="22" t="s">
        <v>775</v>
      </c>
      <c r="H72" s="22" t="s">
        <v>1762</v>
      </c>
      <c r="I72" s="36" t="s">
        <v>775</v>
      </c>
      <c r="J72" s="36" t="s">
        <v>1763</v>
      </c>
      <c r="K72" s="36" t="s">
        <v>775</v>
      </c>
      <c r="L72" s="36" t="s">
        <v>1764</v>
      </c>
      <c r="M72" s="36" t="s">
        <v>775</v>
      </c>
      <c r="N72" s="925" t="s">
        <v>778</v>
      </c>
      <c r="O72" s="925"/>
      <c r="P72" s="1587"/>
      <c r="R72" s="6"/>
      <c r="S72" s="6"/>
      <c r="T72" s="6"/>
      <c r="U72" s="6"/>
      <c r="V72" s="5"/>
      <c r="W72" s="106"/>
      <c r="X72" s="107"/>
      <c r="Y72" s="102"/>
      <c r="Z72" s="102"/>
      <c r="AA72" s="102"/>
      <c r="AB72" s="102"/>
      <c r="AC72" s="6"/>
      <c r="AD72" s="6"/>
      <c r="AE72" s="6"/>
      <c r="AF72" s="6"/>
      <c r="AG72" s="6"/>
      <c r="AH72" s="6"/>
      <c r="AI72" s="6"/>
      <c r="AJ72" s="6"/>
      <c r="AK72" s="6"/>
      <c r="AL72" s="6"/>
      <c r="AM72" s="6"/>
    </row>
    <row r="73" spans="2:99" ht="15" customHeight="1" x14ac:dyDescent="0.3">
      <c r="B73" s="40"/>
      <c r="C73" s="40"/>
      <c r="D73" s="40"/>
      <c r="E73" s="40"/>
      <c r="F73" s="40"/>
      <c r="G73" s="40"/>
      <c r="H73" s="40"/>
      <c r="I73" s="40"/>
      <c r="J73" s="40"/>
      <c r="K73" s="40"/>
      <c r="L73" s="40"/>
      <c r="M73" s="40"/>
      <c r="N73" s="770">
        <f>AW70</f>
        <v>0</v>
      </c>
      <c r="O73" s="770"/>
      <c r="P73" s="1587"/>
      <c r="R73" s="6"/>
      <c r="U73" s="6"/>
      <c r="V73" s="5"/>
      <c r="W73" s="106"/>
      <c r="X73" s="107"/>
      <c r="Y73" s="102"/>
      <c r="Z73" s="102"/>
      <c r="AA73" s="102"/>
      <c r="AB73" s="102"/>
      <c r="AC73" s="6"/>
      <c r="AD73" s="6"/>
      <c r="AE73" s="6"/>
      <c r="AF73" s="6"/>
      <c r="AG73" s="6"/>
      <c r="AH73" s="6"/>
      <c r="AI73" s="6"/>
      <c r="AJ73" s="6"/>
      <c r="AK73" s="6"/>
      <c r="AL73" s="6"/>
      <c r="AM73" s="6"/>
    </row>
    <row r="74" spans="2:99" ht="29.25" customHeight="1" x14ac:dyDescent="0.3">
      <c r="B74" s="771" t="s">
        <v>353</v>
      </c>
      <c r="C74" s="772"/>
      <c r="D74" s="772"/>
      <c r="E74" s="772"/>
      <c r="F74" s="772"/>
      <c r="G74" s="772"/>
      <c r="H74" s="772"/>
      <c r="I74" s="772"/>
      <c r="J74" s="772"/>
      <c r="K74" s="772"/>
      <c r="L74" s="772"/>
      <c r="M74" s="772"/>
      <c r="N74" s="772"/>
      <c r="O74" s="773"/>
      <c r="P74" s="1587"/>
      <c r="R74" s="6"/>
      <c r="AK74" s="6"/>
      <c r="AL74" s="6"/>
      <c r="AM74" s="6"/>
    </row>
    <row r="75" spans="2:99" ht="18" customHeight="1" x14ac:dyDescent="0.3">
      <c r="B75" s="18" t="s">
        <v>775</v>
      </c>
      <c r="C75" s="22" t="s">
        <v>451</v>
      </c>
      <c r="D75" s="22" t="s">
        <v>775</v>
      </c>
      <c r="E75" s="22" t="s">
        <v>452</v>
      </c>
      <c r="F75" s="22" t="s">
        <v>775</v>
      </c>
      <c r="G75" s="22" t="s">
        <v>453</v>
      </c>
      <c r="H75" s="22" t="s">
        <v>775</v>
      </c>
      <c r="I75" s="36" t="s">
        <v>454</v>
      </c>
      <c r="J75" s="36" t="s">
        <v>775</v>
      </c>
      <c r="K75" s="36" t="s">
        <v>1757</v>
      </c>
      <c r="L75" s="36" t="s">
        <v>775</v>
      </c>
      <c r="M75" s="36" t="s">
        <v>1758</v>
      </c>
      <c r="N75" s="22" t="s">
        <v>775</v>
      </c>
      <c r="O75" s="43"/>
      <c r="P75" s="1587"/>
      <c r="R75" s="6"/>
      <c r="S75" s="6"/>
      <c r="T75" s="6"/>
      <c r="U75" s="6"/>
      <c r="V75" s="6"/>
      <c r="W75" s="6"/>
      <c r="X75" s="6"/>
      <c r="Y75" s="6"/>
      <c r="Z75" s="6"/>
      <c r="AA75" s="6"/>
      <c r="AB75" s="6"/>
      <c r="AC75" s="6"/>
      <c r="AD75" s="6"/>
      <c r="AE75" s="6"/>
      <c r="AF75" s="6"/>
      <c r="AG75" s="34"/>
      <c r="AH75" s="34"/>
      <c r="AI75" s="34"/>
      <c r="AJ75" s="109"/>
      <c r="AK75" s="6"/>
      <c r="AL75" s="6"/>
      <c r="AM75" s="6"/>
    </row>
    <row r="76" spans="2:99" ht="15" customHeight="1" x14ac:dyDescent="0.3">
      <c r="B76" s="40"/>
      <c r="C76" s="40"/>
      <c r="D76" s="40"/>
      <c r="E76" s="40"/>
      <c r="F76" s="40"/>
      <c r="G76" s="40"/>
      <c r="H76" s="40"/>
      <c r="I76" s="40"/>
      <c r="J76" s="40"/>
      <c r="K76" s="40"/>
      <c r="L76" s="40"/>
      <c r="M76" s="40"/>
      <c r="N76" s="40"/>
      <c r="O76" s="43"/>
      <c r="P76" s="1587"/>
      <c r="R76" s="6"/>
      <c r="Z76" s="6"/>
      <c r="AA76" s="6"/>
      <c r="AB76" s="6"/>
      <c r="AC76" s="6"/>
      <c r="AD76" s="6"/>
      <c r="AE76" s="6"/>
      <c r="AF76" s="6"/>
      <c r="AG76" s="34"/>
      <c r="AH76" s="34"/>
      <c r="AI76" s="34"/>
      <c r="AJ76" s="109"/>
      <c r="AK76" s="6"/>
      <c r="AL76" s="6"/>
      <c r="AM76" s="6"/>
    </row>
    <row r="77" spans="2:99" ht="14.25" customHeight="1" x14ac:dyDescent="0.3">
      <c r="B77" s="21">
        <f t="shared" ref="B77:N77" si="13">IF(OR(B76="",B76="NA"),0,B76*0.01)</f>
        <v>0</v>
      </c>
      <c r="C77" s="21">
        <f t="shared" si="13"/>
        <v>0</v>
      </c>
      <c r="D77" s="21">
        <f t="shared" si="13"/>
        <v>0</v>
      </c>
      <c r="E77" s="21">
        <f t="shared" si="13"/>
        <v>0</v>
      </c>
      <c r="F77" s="21">
        <f t="shared" si="13"/>
        <v>0</v>
      </c>
      <c r="G77" s="21">
        <f t="shared" si="13"/>
        <v>0</v>
      </c>
      <c r="H77" s="21">
        <f t="shared" si="13"/>
        <v>0</v>
      </c>
      <c r="I77" s="21">
        <f t="shared" si="13"/>
        <v>0</v>
      </c>
      <c r="J77" s="21">
        <f t="shared" si="13"/>
        <v>0</v>
      </c>
      <c r="K77" s="21">
        <f t="shared" si="13"/>
        <v>0</v>
      </c>
      <c r="L77" s="21">
        <f t="shared" si="13"/>
        <v>0</v>
      </c>
      <c r="M77" s="21">
        <f t="shared" si="13"/>
        <v>0</v>
      </c>
      <c r="N77" s="21">
        <f t="shared" si="13"/>
        <v>0</v>
      </c>
      <c r="O77" s="43"/>
      <c r="P77" s="1587"/>
      <c r="R77" s="6"/>
      <c r="Z77" s="102"/>
      <c r="AA77" s="102"/>
      <c r="AB77" s="102"/>
      <c r="AC77" s="6"/>
      <c r="AD77" s="6"/>
      <c r="AE77" s="6"/>
      <c r="AF77" s="6"/>
      <c r="AG77" s="6"/>
      <c r="AH77" s="6"/>
      <c r="AI77" s="6"/>
      <c r="AJ77" s="6"/>
      <c r="AK77" s="6"/>
      <c r="AL77" s="6"/>
      <c r="AM77" s="6"/>
    </row>
    <row r="78" spans="2:99" ht="18" customHeight="1" x14ac:dyDescent="0.3">
      <c r="B78" s="18" t="s">
        <v>1759</v>
      </c>
      <c r="C78" s="22" t="s">
        <v>775</v>
      </c>
      <c r="D78" s="22" t="s">
        <v>1760</v>
      </c>
      <c r="E78" s="22" t="s">
        <v>775</v>
      </c>
      <c r="F78" s="22" t="s">
        <v>1761</v>
      </c>
      <c r="G78" s="22" t="s">
        <v>775</v>
      </c>
      <c r="H78" s="22" t="s">
        <v>1762</v>
      </c>
      <c r="I78" s="36" t="s">
        <v>775</v>
      </c>
      <c r="J78" s="36" t="s">
        <v>1763</v>
      </c>
      <c r="K78" s="36" t="s">
        <v>775</v>
      </c>
      <c r="L78" s="36" t="s">
        <v>1764</v>
      </c>
      <c r="M78" s="36" t="s">
        <v>775</v>
      </c>
      <c r="N78" s="43"/>
      <c r="O78" s="43"/>
      <c r="P78" s="1587"/>
      <c r="R78" s="6"/>
      <c r="S78" s="6"/>
      <c r="T78" s="6"/>
      <c r="U78" s="6"/>
      <c r="V78" s="6"/>
      <c r="W78" s="6"/>
      <c r="X78" s="6"/>
      <c r="Y78" s="6"/>
      <c r="Z78" s="6"/>
      <c r="AA78" s="6"/>
      <c r="AB78" s="6"/>
      <c r="AC78" s="6"/>
      <c r="AD78" s="6"/>
      <c r="AE78" s="6"/>
      <c r="AF78" s="6"/>
      <c r="AG78" s="6"/>
      <c r="AH78" s="102"/>
      <c r="AI78" s="6"/>
      <c r="AJ78" s="6"/>
      <c r="AK78" s="6"/>
      <c r="AL78" s="6"/>
      <c r="AM78" s="6"/>
    </row>
    <row r="79" spans="2:99" ht="15" customHeight="1" x14ac:dyDescent="0.3">
      <c r="B79" s="40"/>
      <c r="C79" s="40"/>
      <c r="D79" s="40"/>
      <c r="E79" s="40"/>
      <c r="F79" s="40"/>
      <c r="G79" s="40"/>
      <c r="H79" s="40"/>
      <c r="I79" s="40"/>
      <c r="J79" s="40"/>
      <c r="K79" s="40"/>
      <c r="L79" s="40"/>
      <c r="M79" s="40"/>
      <c r="N79" s="925" t="s">
        <v>778</v>
      </c>
      <c r="O79" s="925"/>
      <c r="P79" s="532"/>
      <c r="R79" s="6"/>
      <c r="S79" s="6"/>
      <c r="T79" s="6"/>
      <c r="U79" s="6"/>
      <c r="V79" s="6"/>
      <c r="W79" s="6"/>
      <c r="X79" s="6"/>
      <c r="Y79" s="6"/>
      <c r="Z79" s="6"/>
      <c r="AA79" s="6"/>
      <c r="AB79" s="6"/>
      <c r="AC79" s="6"/>
      <c r="AD79" s="6"/>
      <c r="AE79" s="6"/>
      <c r="AF79" s="6"/>
      <c r="AG79" s="6"/>
      <c r="AH79" s="102"/>
      <c r="AI79" s="6"/>
      <c r="AJ79" s="6"/>
      <c r="AK79" s="6"/>
      <c r="AL79" s="6"/>
      <c r="AM79" s="6"/>
    </row>
    <row r="80" spans="2:99" ht="15" customHeight="1" x14ac:dyDescent="0.3">
      <c r="B80" s="49">
        <f t="shared" ref="B80:M80" si="14">IF(OR(B79="",B79="NA"),0,B79*0.01)</f>
        <v>0</v>
      </c>
      <c r="C80" s="49">
        <f t="shared" si="14"/>
        <v>0</v>
      </c>
      <c r="D80" s="49">
        <f t="shared" si="14"/>
        <v>0</v>
      </c>
      <c r="E80" s="49">
        <f t="shared" si="14"/>
        <v>0</v>
      </c>
      <c r="F80" s="49">
        <f t="shared" si="14"/>
        <v>0</v>
      </c>
      <c r="G80" s="49">
        <f t="shared" si="14"/>
        <v>0</v>
      </c>
      <c r="H80" s="49">
        <f t="shared" si="14"/>
        <v>0</v>
      </c>
      <c r="I80" s="49">
        <f t="shared" si="14"/>
        <v>0</v>
      </c>
      <c r="J80" s="49">
        <f t="shared" si="14"/>
        <v>0</v>
      </c>
      <c r="K80" s="49">
        <f t="shared" si="14"/>
        <v>0</v>
      </c>
      <c r="L80" s="49">
        <f t="shared" si="14"/>
        <v>0</v>
      </c>
      <c r="M80" s="49">
        <f t="shared" si="14"/>
        <v>0</v>
      </c>
      <c r="N80" s="872">
        <f>SUM(B77:N77,B80:M80)</f>
        <v>0</v>
      </c>
      <c r="O80" s="872"/>
      <c r="P80" s="533"/>
      <c r="R80" s="6"/>
      <c r="S80" s="6"/>
      <c r="T80" s="6"/>
      <c r="U80" s="6"/>
      <c r="V80" s="5"/>
      <c r="W80" s="106"/>
      <c r="X80" s="107"/>
      <c r="Y80" s="102"/>
      <c r="Z80" s="6"/>
      <c r="AA80" s="6"/>
      <c r="AB80" s="6"/>
      <c r="AC80" s="6"/>
      <c r="AD80" s="6"/>
      <c r="AE80" s="6"/>
      <c r="AF80" s="6"/>
      <c r="AG80" s="6"/>
      <c r="AH80" s="102"/>
      <c r="AI80" s="6"/>
      <c r="AJ80" s="6"/>
      <c r="AK80" s="6"/>
      <c r="AL80" s="6"/>
      <c r="AM80" s="6"/>
    </row>
    <row r="81" spans="1:99" ht="18" customHeight="1" x14ac:dyDescent="0.3">
      <c r="B81" s="1142" t="s">
        <v>34</v>
      </c>
      <c r="C81" s="1142"/>
      <c r="D81" s="1142"/>
      <c r="E81" s="1142"/>
      <c r="F81" s="1142"/>
      <c r="G81" s="1142"/>
      <c r="H81" s="1142"/>
      <c r="I81" s="1142"/>
      <c r="J81" s="1142"/>
      <c r="K81" s="1142"/>
      <c r="L81" s="1142"/>
      <c r="M81" s="1142"/>
      <c r="N81" s="1142"/>
      <c r="O81" s="1142"/>
      <c r="P81" s="248">
        <f>N73+N80</f>
        <v>0</v>
      </c>
      <c r="R81" s="6"/>
      <c r="S81" s="6"/>
      <c r="T81" s="6"/>
      <c r="U81" s="6"/>
      <c r="V81" s="5"/>
      <c r="W81" s="106"/>
      <c r="X81" s="6"/>
      <c r="Y81" s="6"/>
      <c r="Z81" s="6"/>
      <c r="AA81" s="6"/>
      <c r="AB81" s="6"/>
      <c r="AC81" s="6"/>
      <c r="AD81" s="6"/>
      <c r="AE81" s="6"/>
      <c r="AF81" s="6"/>
      <c r="AG81" s="6"/>
      <c r="AH81" s="102"/>
      <c r="AI81" s="6"/>
      <c r="AJ81" s="6"/>
      <c r="AK81" s="6"/>
      <c r="AL81" s="6"/>
      <c r="AM81" s="6"/>
    </row>
    <row r="82" spans="1:99" ht="12" customHeight="1" x14ac:dyDescent="0.3">
      <c r="B82" s="102"/>
      <c r="C82" s="102"/>
      <c r="D82" s="102"/>
      <c r="E82" s="102"/>
      <c r="F82" s="102"/>
      <c r="G82" s="102"/>
      <c r="H82" s="102"/>
      <c r="I82" s="102"/>
      <c r="J82" s="102"/>
      <c r="K82" s="102"/>
      <c r="L82" s="102"/>
      <c r="M82" s="102"/>
      <c r="N82" s="102"/>
      <c r="O82" s="102"/>
      <c r="P82" s="8"/>
      <c r="R82" s="6"/>
      <c r="S82" s="6"/>
      <c r="T82" s="6"/>
      <c r="U82" s="6"/>
      <c r="V82" s="5"/>
      <c r="W82" s="106"/>
      <c r="X82" s="6"/>
      <c r="Y82" s="6"/>
      <c r="Z82" s="6"/>
      <c r="AA82" s="6"/>
      <c r="AB82" s="6"/>
      <c r="AC82" s="6"/>
      <c r="AD82" s="6"/>
      <c r="AE82" s="6"/>
      <c r="AF82" s="6"/>
      <c r="AG82" s="6"/>
      <c r="AH82" s="102"/>
      <c r="AI82" s="6"/>
      <c r="AJ82" s="6"/>
      <c r="AK82" s="6"/>
      <c r="AL82" s="6"/>
      <c r="AM82" s="6"/>
    </row>
    <row r="83" spans="1:99" ht="18" customHeight="1" x14ac:dyDescent="0.3">
      <c r="B83" s="947" t="s">
        <v>596</v>
      </c>
      <c r="C83" s="878"/>
      <c r="D83" s="878"/>
      <c r="E83" s="878"/>
      <c r="F83" s="878"/>
      <c r="G83" s="878"/>
      <c r="H83" s="878"/>
      <c r="I83" s="878"/>
      <c r="J83" s="878"/>
      <c r="K83" s="878"/>
      <c r="L83" s="878"/>
      <c r="M83" s="878"/>
      <c r="N83" s="878"/>
      <c r="O83" s="878"/>
      <c r="P83" s="992">
        <f>IF(R85=1,0.05,0)</f>
        <v>0</v>
      </c>
      <c r="R83" s="6"/>
      <c r="S83" s="6"/>
      <c r="T83" s="6"/>
      <c r="U83" s="6"/>
      <c r="V83" s="6"/>
      <c r="W83" s="6"/>
      <c r="X83" s="6"/>
      <c r="Y83" s="6"/>
      <c r="Z83" s="6"/>
      <c r="AA83" s="6"/>
      <c r="AB83" s="6"/>
      <c r="AC83" s="6"/>
      <c r="AD83" s="6"/>
      <c r="AE83" s="6"/>
      <c r="AF83" s="6"/>
      <c r="AG83" s="6"/>
      <c r="AH83" s="6"/>
      <c r="AI83" s="6"/>
      <c r="AJ83" s="6"/>
      <c r="AK83" s="6"/>
      <c r="AL83" s="6"/>
      <c r="AM83" s="6"/>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row>
    <row r="84" spans="1:99" ht="42.75" customHeight="1" x14ac:dyDescent="0.3">
      <c r="B84" s="776" t="s">
        <v>1874</v>
      </c>
      <c r="C84" s="776"/>
      <c r="D84" s="776"/>
      <c r="E84" s="776"/>
      <c r="F84" s="776"/>
      <c r="G84" s="776"/>
      <c r="H84" s="776"/>
      <c r="I84" s="776"/>
      <c r="J84" s="776"/>
      <c r="K84" s="776"/>
      <c r="L84" s="776"/>
      <c r="M84" s="776"/>
      <c r="N84" s="776"/>
      <c r="O84" s="776"/>
      <c r="P84" s="1081"/>
      <c r="R84" s="323" t="s">
        <v>2300</v>
      </c>
      <c r="S84" s="6"/>
      <c r="T84" s="6"/>
      <c r="U84" s="6"/>
      <c r="V84" s="6"/>
      <c r="W84" s="6"/>
      <c r="X84" s="6"/>
      <c r="Y84" s="6"/>
      <c r="Z84" s="6"/>
      <c r="AA84" s="6"/>
      <c r="AB84" s="6"/>
      <c r="AC84" s="6"/>
      <c r="AD84" s="6"/>
      <c r="AE84" s="6"/>
      <c r="AF84" s="6"/>
      <c r="AG84" s="6"/>
      <c r="AH84" s="6"/>
      <c r="AI84" s="6"/>
      <c r="AJ84" s="6"/>
      <c r="AK84" s="6"/>
      <c r="AL84" s="6"/>
      <c r="AM84" s="6"/>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row>
    <row r="85" spans="1:99" ht="21.75" customHeight="1" x14ac:dyDescent="0.3">
      <c r="A85" s="15"/>
      <c r="B85" s="806" t="s">
        <v>948</v>
      </c>
      <c r="C85" s="806"/>
      <c r="D85" s="806"/>
      <c r="E85" s="806"/>
      <c r="F85" s="806"/>
      <c r="G85" s="806"/>
      <c r="H85" s="806"/>
      <c r="I85" s="806"/>
      <c r="J85" s="806"/>
      <c r="K85" s="1023"/>
      <c r="L85" s="1023"/>
      <c r="M85" s="1023"/>
      <c r="N85" s="1023"/>
      <c r="O85" s="1023"/>
      <c r="P85" s="1082"/>
      <c r="R85" s="622">
        <v>2</v>
      </c>
      <c r="S85" s="6"/>
      <c r="T85" s="6"/>
      <c r="U85" s="6"/>
      <c r="V85" s="6"/>
      <c r="W85" s="6"/>
      <c r="X85" s="6"/>
      <c r="Y85" s="6"/>
      <c r="Z85" s="6"/>
      <c r="AA85" s="6"/>
      <c r="AB85" s="6"/>
      <c r="AC85" s="6"/>
      <c r="AD85" s="6"/>
      <c r="AE85" s="6"/>
      <c r="AF85" s="6"/>
      <c r="AG85" s="6"/>
      <c r="AH85" s="6"/>
      <c r="AI85" s="6"/>
      <c r="AJ85" s="6"/>
      <c r="AK85" s="6"/>
      <c r="AL85" s="6"/>
      <c r="AM85" s="6"/>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row>
    <row r="86" spans="1:99" ht="12" customHeight="1" x14ac:dyDescent="0.3">
      <c r="B86" s="712"/>
      <c r="C86" s="712"/>
      <c r="D86" s="712"/>
      <c r="E86" s="712"/>
      <c r="F86" s="712"/>
      <c r="G86" s="712"/>
      <c r="H86" s="712"/>
      <c r="I86" s="712"/>
      <c r="J86" s="712"/>
      <c r="K86" s="712"/>
      <c r="L86" s="712"/>
      <c r="M86" s="712"/>
      <c r="N86" s="712"/>
      <c r="O86" s="712"/>
      <c r="P86" s="712"/>
      <c r="R86" s="6"/>
      <c r="S86" s="6"/>
      <c r="T86" s="6"/>
      <c r="U86" s="6"/>
      <c r="V86" s="5"/>
      <c r="W86" s="106"/>
      <c r="X86" s="6"/>
      <c r="Y86" s="6"/>
      <c r="Z86" s="6"/>
      <c r="AA86" s="6"/>
      <c r="AB86" s="6"/>
      <c r="AC86" s="6"/>
      <c r="AD86" s="6"/>
      <c r="AE86" s="6"/>
      <c r="AF86" s="6"/>
      <c r="AG86" s="6"/>
      <c r="AH86" s="102"/>
      <c r="AI86" s="6"/>
      <c r="AJ86" s="6"/>
      <c r="AK86" s="6"/>
      <c r="AL86" s="6"/>
      <c r="AM86" s="6"/>
    </row>
    <row r="87" spans="1:99" ht="27" customHeight="1" x14ac:dyDescent="0.3">
      <c r="B87" s="756" t="s">
        <v>59</v>
      </c>
      <c r="C87" s="756"/>
      <c r="D87" s="756"/>
      <c r="E87" s="756"/>
      <c r="F87" s="756"/>
      <c r="G87" s="756"/>
      <c r="H87" s="756"/>
      <c r="I87" s="927" t="s">
        <v>1524</v>
      </c>
      <c r="J87" s="925"/>
      <c r="K87" s="925"/>
      <c r="L87" s="925"/>
      <c r="M87" s="878"/>
      <c r="N87" s="878"/>
      <c r="O87" s="878"/>
      <c r="P87" s="1584">
        <f>AR90</f>
        <v>0</v>
      </c>
      <c r="R87" s="13" t="s">
        <v>1864</v>
      </c>
      <c r="S87" s="370">
        <f>IF(K88&gt;0,K88,G88)</f>
        <v>0</v>
      </c>
      <c r="T87" s="52">
        <f t="shared" ref="T87:Y87" si="15">C91</f>
        <v>0</v>
      </c>
      <c r="U87" s="52">
        <f t="shared" si="15"/>
        <v>0</v>
      </c>
      <c r="V87" s="52">
        <f t="shared" si="15"/>
        <v>0</v>
      </c>
      <c r="W87" s="52">
        <f t="shared" si="15"/>
        <v>0</v>
      </c>
      <c r="X87" s="52">
        <f t="shared" si="15"/>
        <v>0</v>
      </c>
      <c r="Y87" s="52">
        <f t="shared" si="15"/>
        <v>0</v>
      </c>
      <c r="Z87" s="52">
        <f t="shared" ref="Z87:AE87" si="16">C93</f>
        <v>0</v>
      </c>
      <c r="AA87" s="52">
        <f t="shared" si="16"/>
        <v>0</v>
      </c>
      <c r="AB87" s="52">
        <f t="shared" si="16"/>
        <v>0</v>
      </c>
      <c r="AC87" s="52">
        <f t="shared" si="16"/>
        <v>0</v>
      </c>
      <c r="AD87" s="52">
        <f t="shared" si="16"/>
        <v>0</v>
      </c>
      <c r="AE87" s="52">
        <f t="shared" si="16"/>
        <v>0</v>
      </c>
      <c r="AF87" s="52">
        <f t="shared" ref="AF87:AK87" si="17">C96</f>
        <v>0</v>
      </c>
      <c r="AG87" s="52">
        <f t="shared" si="17"/>
        <v>0</v>
      </c>
      <c r="AH87" s="52">
        <f t="shared" si="17"/>
        <v>0</v>
      </c>
      <c r="AI87" s="52">
        <f t="shared" si="17"/>
        <v>0</v>
      </c>
      <c r="AJ87" s="52">
        <f t="shared" si="17"/>
        <v>0</v>
      </c>
      <c r="AK87" s="52">
        <f t="shared" si="17"/>
        <v>0</v>
      </c>
      <c r="AL87" s="52">
        <f t="shared" ref="AL87:AQ87" si="18">C98</f>
        <v>0</v>
      </c>
      <c r="AM87" s="52">
        <f t="shared" si="18"/>
        <v>0</v>
      </c>
      <c r="AN87" s="52">
        <f t="shared" si="18"/>
        <v>0</v>
      </c>
      <c r="AO87" s="52">
        <f t="shared" si="18"/>
        <v>0</v>
      </c>
      <c r="AP87" s="52">
        <f t="shared" si="18"/>
        <v>0</v>
      </c>
      <c r="AQ87" s="52">
        <f t="shared" si="18"/>
        <v>0</v>
      </c>
      <c r="AR87" s="394">
        <f>G99</f>
        <v>0</v>
      </c>
      <c r="AS87" s="370">
        <f>IF(K100&gt;0,K100,G100)</f>
        <v>0</v>
      </c>
    </row>
    <row r="88" spans="1:99" ht="18" customHeight="1" x14ac:dyDescent="0.3">
      <c r="B88" s="806" t="s">
        <v>1958</v>
      </c>
      <c r="C88" s="806"/>
      <c r="D88" s="806"/>
      <c r="E88" s="806"/>
      <c r="F88" s="806"/>
      <c r="G88" s="770">
        <f>P50</f>
        <v>0</v>
      </c>
      <c r="H88" s="770"/>
      <c r="I88" s="1582"/>
      <c r="J88" s="1583"/>
      <c r="K88" s="1188">
        <f>IF(I88="",0,IF(AND(G88*I88&gt;0,G88*I88&lt;0.01),0.01,ROUND(G88*I88,2)))</f>
        <v>0</v>
      </c>
      <c r="L88" s="1188"/>
      <c r="M88" s="878"/>
      <c r="N88" s="878"/>
      <c r="O88" s="878"/>
      <c r="P88" s="1584"/>
      <c r="R88" s="52" t="s">
        <v>1304</v>
      </c>
      <c r="S88" s="84">
        <f>LARGE($S$87:$AS$87,1)</f>
        <v>0</v>
      </c>
      <c r="T88" s="84">
        <f>LARGE($S$87:$AS$87,2)</f>
        <v>0</v>
      </c>
      <c r="U88" s="84">
        <f>LARGE($S$87:$AS$87,3)</f>
        <v>0</v>
      </c>
      <c r="V88" s="84">
        <f>LARGE($S$87:$AS$87,4)</f>
        <v>0</v>
      </c>
      <c r="W88" s="84">
        <f>LARGE($S$87:$AS$87,5)</f>
        <v>0</v>
      </c>
      <c r="X88" s="84">
        <f>LARGE($S$87:$AS$87,6)</f>
        <v>0</v>
      </c>
      <c r="Y88" s="84">
        <f>LARGE($S$87:$AS$87,7)</f>
        <v>0</v>
      </c>
      <c r="Z88" s="84">
        <f>LARGE($S$87:$AS$87,8)</f>
        <v>0</v>
      </c>
      <c r="AA88" s="84">
        <f>LARGE($S$87:$AS$87,9)</f>
        <v>0</v>
      </c>
      <c r="AB88" s="84">
        <f>LARGE($S$87:$AS$87,10)</f>
        <v>0</v>
      </c>
      <c r="AC88" s="84">
        <f>LARGE($S$87:$AS$87,11)</f>
        <v>0</v>
      </c>
      <c r="AD88" s="84">
        <f>LARGE($S$87:$AS$87,12)</f>
        <v>0</v>
      </c>
      <c r="AE88" s="84">
        <f>LARGE($S$87:$AS$87,13)</f>
        <v>0</v>
      </c>
      <c r="AF88" s="84">
        <f>LARGE($S$87:$AS$87,14)</f>
        <v>0</v>
      </c>
      <c r="AG88" s="84">
        <f>LARGE($S$87:$AS$87,15)</f>
        <v>0</v>
      </c>
      <c r="AH88" s="84">
        <f>LARGE($S$87:$AS$87,16)</f>
        <v>0</v>
      </c>
      <c r="AI88" s="84">
        <f>LARGE($S$87:$AS$87,17)</f>
        <v>0</v>
      </c>
      <c r="AJ88" s="84">
        <f>LARGE($S$87:$AS$87,18)</f>
        <v>0</v>
      </c>
      <c r="AK88" s="84">
        <f>LARGE($S$87:$AS$87,19)</f>
        <v>0</v>
      </c>
      <c r="AL88" s="84">
        <f>LARGE($S$87:$AS$87,20)</f>
        <v>0</v>
      </c>
      <c r="AM88" s="84">
        <f>LARGE($S$87:$AS$87,21)</f>
        <v>0</v>
      </c>
      <c r="AN88" s="84">
        <f>LARGE($S$87:$AS$87,22)</f>
        <v>0</v>
      </c>
      <c r="AO88" s="84">
        <f>LARGE($S$87:$AS$87,23)</f>
        <v>0</v>
      </c>
      <c r="AP88" s="84">
        <f>LARGE($S$87:$AS$87,24)</f>
        <v>0</v>
      </c>
      <c r="AQ88" s="84">
        <f>LARGE($S$87:$AS$87,25)</f>
        <v>0</v>
      </c>
      <c r="AR88" s="84">
        <f>LARGE($S$87:$AS$87,26)</f>
        <v>0</v>
      </c>
      <c r="AS88" s="84">
        <f>LARGE($S$87:$AS$87,27)</f>
        <v>0</v>
      </c>
    </row>
    <row r="89" spans="1:99" ht="18" customHeight="1" x14ac:dyDescent="0.3">
      <c r="B89" s="757" t="s">
        <v>1340</v>
      </c>
      <c r="C89" s="758"/>
      <c r="D89" s="758"/>
      <c r="E89" s="758"/>
      <c r="F89" s="758"/>
      <c r="G89" s="758"/>
      <c r="H89" s="759"/>
      <c r="I89" s="925" t="s">
        <v>1941</v>
      </c>
      <c r="J89" s="925"/>
      <c r="K89" s="925"/>
      <c r="L89" s="925"/>
      <c r="M89" s="878"/>
      <c r="N89" s="878"/>
      <c r="O89" s="878"/>
      <c r="P89" s="1584"/>
      <c r="R89" s="52" t="s">
        <v>1305</v>
      </c>
      <c r="S89" s="12">
        <f>S88+T88*(1-S88)</f>
        <v>0</v>
      </c>
      <c r="T89" s="12">
        <f>S90+U88*(1-S90)</f>
        <v>0</v>
      </c>
      <c r="U89" s="12">
        <f t="shared" ref="U89:AQ89" si="19">T90+V88*(1-T90)</f>
        <v>0</v>
      </c>
      <c r="V89" s="12">
        <f t="shared" si="19"/>
        <v>0</v>
      </c>
      <c r="W89" s="12">
        <f t="shared" si="19"/>
        <v>0</v>
      </c>
      <c r="X89" s="12">
        <f t="shared" si="19"/>
        <v>0</v>
      </c>
      <c r="Y89" s="12">
        <f t="shared" si="19"/>
        <v>0</v>
      </c>
      <c r="Z89" s="12">
        <f t="shared" si="19"/>
        <v>0</v>
      </c>
      <c r="AA89" s="12">
        <f t="shared" si="19"/>
        <v>0</v>
      </c>
      <c r="AB89" s="12">
        <f>AA90+AC88*(1-AA90)</f>
        <v>0</v>
      </c>
      <c r="AC89" s="12">
        <f t="shared" si="19"/>
        <v>0</v>
      </c>
      <c r="AD89" s="12">
        <f t="shared" si="19"/>
        <v>0</v>
      </c>
      <c r="AE89" s="12">
        <f t="shared" si="19"/>
        <v>0</v>
      </c>
      <c r="AF89" s="12">
        <f t="shared" si="19"/>
        <v>0</v>
      </c>
      <c r="AG89" s="12">
        <f t="shared" si="19"/>
        <v>0</v>
      </c>
      <c r="AH89" s="12">
        <f t="shared" si="19"/>
        <v>0</v>
      </c>
      <c r="AI89" s="12">
        <f t="shared" si="19"/>
        <v>0</v>
      </c>
      <c r="AJ89" s="12">
        <f>AI90+AK88*(1-AI90)</f>
        <v>0</v>
      </c>
      <c r="AK89" s="12">
        <f t="shared" si="19"/>
        <v>0</v>
      </c>
      <c r="AL89" s="12">
        <f t="shared" si="19"/>
        <v>0</v>
      </c>
      <c r="AM89" s="12">
        <f t="shared" si="19"/>
        <v>0</v>
      </c>
      <c r="AN89" s="12">
        <f t="shared" si="19"/>
        <v>0</v>
      </c>
      <c r="AO89" s="12">
        <f t="shared" si="19"/>
        <v>0</v>
      </c>
      <c r="AP89" s="12">
        <f t="shared" si="19"/>
        <v>0</v>
      </c>
      <c r="AQ89" s="12">
        <f t="shared" si="19"/>
        <v>0</v>
      </c>
      <c r="AR89" s="12">
        <f>AQ90+AS88*(1-AQ90)</f>
        <v>0</v>
      </c>
    </row>
    <row r="90" spans="1:99" ht="18" customHeight="1" x14ac:dyDescent="0.3">
      <c r="B90" s="845"/>
      <c r="C90" s="18" t="s">
        <v>451</v>
      </c>
      <c r="D90" s="18" t="s">
        <v>452</v>
      </c>
      <c r="E90" s="18" t="s">
        <v>453</v>
      </c>
      <c r="F90" s="18" t="s">
        <v>454</v>
      </c>
      <c r="G90" s="18" t="s">
        <v>1757</v>
      </c>
      <c r="H90" s="18" t="s">
        <v>1758</v>
      </c>
      <c r="I90" s="925" t="s">
        <v>1941</v>
      </c>
      <c r="J90" s="925"/>
      <c r="K90" s="925"/>
      <c r="L90" s="925"/>
      <c r="M90" s="878"/>
      <c r="N90" s="878"/>
      <c r="O90" s="878"/>
      <c r="P90" s="1584"/>
      <c r="R90" s="52" t="s">
        <v>1306</v>
      </c>
      <c r="S90" s="84">
        <f>ROUND(S89,2)</f>
        <v>0</v>
      </c>
      <c r="T90" s="84">
        <f>ROUND(T89,2)</f>
        <v>0</v>
      </c>
      <c r="U90" s="84">
        <f t="shared" ref="U90:AA90" si="20">ROUND(U89,2)</f>
        <v>0</v>
      </c>
      <c r="V90" s="84">
        <f t="shared" si="20"/>
        <v>0</v>
      </c>
      <c r="W90" s="84">
        <f t="shared" si="20"/>
        <v>0</v>
      </c>
      <c r="X90" s="84">
        <f t="shared" si="20"/>
        <v>0</v>
      </c>
      <c r="Y90" s="84">
        <f t="shared" si="20"/>
        <v>0</v>
      </c>
      <c r="Z90" s="84">
        <f t="shared" si="20"/>
        <v>0</v>
      </c>
      <c r="AA90" s="84">
        <f t="shared" si="20"/>
        <v>0</v>
      </c>
      <c r="AB90" s="84">
        <f t="shared" ref="AB90:AR90" si="21">ROUND(AB89,2)</f>
        <v>0</v>
      </c>
      <c r="AC90" s="84">
        <f t="shared" si="21"/>
        <v>0</v>
      </c>
      <c r="AD90" s="84">
        <f t="shared" si="21"/>
        <v>0</v>
      </c>
      <c r="AE90" s="84">
        <f t="shared" si="21"/>
        <v>0</v>
      </c>
      <c r="AF90" s="84">
        <f t="shared" si="21"/>
        <v>0</v>
      </c>
      <c r="AG90" s="84">
        <f t="shared" si="21"/>
        <v>0</v>
      </c>
      <c r="AH90" s="84">
        <f t="shared" si="21"/>
        <v>0</v>
      </c>
      <c r="AI90" s="84">
        <f t="shared" si="21"/>
        <v>0</v>
      </c>
      <c r="AJ90" s="84">
        <f t="shared" si="21"/>
        <v>0</v>
      </c>
      <c r="AK90" s="84">
        <f t="shared" si="21"/>
        <v>0</v>
      </c>
      <c r="AL90" s="84">
        <f t="shared" si="21"/>
        <v>0</v>
      </c>
      <c r="AM90" s="84">
        <f t="shared" si="21"/>
        <v>0</v>
      </c>
      <c r="AN90" s="84">
        <f t="shared" si="21"/>
        <v>0</v>
      </c>
      <c r="AO90" s="84">
        <f t="shared" si="21"/>
        <v>0</v>
      </c>
      <c r="AP90" s="84">
        <f t="shared" si="21"/>
        <v>0</v>
      </c>
      <c r="AQ90" s="84">
        <f t="shared" si="21"/>
        <v>0</v>
      </c>
      <c r="AR90" s="84">
        <f t="shared" si="21"/>
        <v>0</v>
      </c>
    </row>
    <row r="91" spans="1:99" ht="18" customHeight="1" x14ac:dyDescent="0.3">
      <c r="B91" s="846"/>
      <c r="C91" s="248">
        <f>H56</f>
        <v>0</v>
      </c>
      <c r="D91" s="248">
        <f>H57</f>
        <v>0</v>
      </c>
      <c r="E91" s="248">
        <f>H58</f>
        <v>0</v>
      </c>
      <c r="F91" s="248">
        <f>H59</f>
        <v>0</v>
      </c>
      <c r="G91" s="248">
        <f>H60</f>
        <v>0</v>
      </c>
      <c r="H91" s="248">
        <f>H61</f>
        <v>0</v>
      </c>
      <c r="I91" s="925" t="s">
        <v>1941</v>
      </c>
      <c r="J91" s="925"/>
      <c r="K91" s="925"/>
      <c r="L91" s="925"/>
      <c r="M91" s="878"/>
      <c r="N91" s="878"/>
      <c r="O91" s="878"/>
      <c r="P91" s="1584"/>
      <c r="R91" s="151"/>
      <c r="S91" s="34"/>
      <c r="T91" s="77"/>
      <c r="U91" s="109"/>
      <c r="V91" s="6"/>
      <c r="W91" s="6"/>
      <c r="X91" s="6"/>
      <c r="Y91" s="6"/>
      <c r="Z91" s="6"/>
      <c r="AA91" s="6"/>
      <c r="AB91" s="6"/>
      <c r="AC91" s="6"/>
      <c r="AD91" s="6"/>
      <c r="AE91" s="6"/>
      <c r="AF91" s="6"/>
      <c r="AG91" s="6"/>
      <c r="AH91" s="6"/>
      <c r="AI91" s="6"/>
      <c r="AJ91" s="6"/>
      <c r="AK91" s="6"/>
      <c r="AL91" s="6"/>
      <c r="AM91" s="6"/>
    </row>
    <row r="92" spans="1:99" ht="18" customHeight="1" x14ac:dyDescent="0.3">
      <c r="B92" s="846"/>
      <c r="C92" s="18" t="s">
        <v>1759</v>
      </c>
      <c r="D92" s="18" t="s">
        <v>1760</v>
      </c>
      <c r="E92" s="18" t="s">
        <v>1761</v>
      </c>
      <c r="F92" s="18" t="s">
        <v>1762</v>
      </c>
      <c r="G92" s="18" t="s">
        <v>1763</v>
      </c>
      <c r="H92" s="18" t="s">
        <v>1764</v>
      </c>
      <c r="I92" s="925" t="s">
        <v>1941</v>
      </c>
      <c r="J92" s="925"/>
      <c r="K92" s="925"/>
      <c r="L92" s="925"/>
      <c r="M92" s="878"/>
      <c r="N92" s="878"/>
      <c r="O92" s="878"/>
      <c r="P92" s="1584"/>
      <c r="R92" s="77"/>
      <c r="S92" s="77"/>
      <c r="T92" s="77"/>
      <c r="U92" s="77"/>
      <c r="V92" s="77"/>
      <c r="W92" s="6"/>
      <c r="X92" s="6"/>
      <c r="Y92" s="6"/>
      <c r="Z92" s="6"/>
      <c r="AA92" s="6"/>
      <c r="AB92" s="6"/>
      <c r="AC92" s="6"/>
      <c r="AD92" s="6"/>
      <c r="AE92" s="6"/>
      <c r="AF92" s="6"/>
      <c r="AG92" s="6"/>
      <c r="AH92" s="6"/>
      <c r="AI92" s="6"/>
      <c r="AJ92" s="6"/>
      <c r="AK92" s="6"/>
      <c r="AL92" s="6"/>
      <c r="AM92" s="6"/>
    </row>
    <row r="93" spans="1:99" ht="18" customHeight="1" x14ac:dyDescent="0.3">
      <c r="B93" s="847"/>
      <c r="C93" s="248">
        <f>H62</f>
        <v>0</v>
      </c>
      <c r="D93" s="248">
        <f>H63</f>
        <v>0</v>
      </c>
      <c r="E93" s="248">
        <f>H64</f>
        <v>0</v>
      </c>
      <c r="F93" s="248">
        <f>H65</f>
        <v>0</v>
      </c>
      <c r="G93" s="248">
        <f>H66</f>
        <v>0</v>
      </c>
      <c r="H93" s="248">
        <f>H67</f>
        <v>0</v>
      </c>
      <c r="I93" s="925" t="s">
        <v>1941</v>
      </c>
      <c r="J93" s="925"/>
      <c r="K93" s="925"/>
      <c r="L93" s="925"/>
      <c r="M93" s="878"/>
      <c r="N93" s="878"/>
      <c r="O93" s="878"/>
      <c r="P93" s="1584"/>
      <c r="R93" s="77"/>
      <c r="S93" s="77"/>
      <c r="T93" s="77"/>
      <c r="U93" s="77"/>
      <c r="V93" s="77"/>
      <c r="W93" s="6"/>
      <c r="X93" s="6"/>
      <c r="Y93" s="6"/>
      <c r="Z93" s="6"/>
      <c r="AA93" s="6"/>
      <c r="AB93" s="6"/>
      <c r="AC93" s="6"/>
      <c r="AD93" s="6"/>
      <c r="AE93" s="6"/>
      <c r="AF93" s="6"/>
      <c r="AG93" s="6"/>
      <c r="AH93" s="6"/>
      <c r="AI93" s="6"/>
      <c r="AJ93" s="6"/>
      <c r="AK93" s="6"/>
      <c r="AL93" s="6"/>
      <c r="AM93" s="6"/>
    </row>
    <row r="94" spans="1:99" ht="18" customHeight="1" x14ac:dyDescent="0.3">
      <c r="B94" s="764" t="s">
        <v>1341</v>
      </c>
      <c r="C94" s="765"/>
      <c r="D94" s="765"/>
      <c r="E94" s="765"/>
      <c r="F94" s="765"/>
      <c r="G94" s="765"/>
      <c r="H94" s="766"/>
      <c r="I94" s="925" t="s">
        <v>1941</v>
      </c>
      <c r="J94" s="925"/>
      <c r="K94" s="925"/>
      <c r="L94" s="925"/>
      <c r="M94" s="878"/>
      <c r="N94" s="878"/>
      <c r="O94" s="878"/>
      <c r="P94" s="1584"/>
      <c r="R94" s="151"/>
      <c r="S94" s="34"/>
      <c r="T94" s="77"/>
      <c r="U94" s="109"/>
      <c r="V94" s="6"/>
      <c r="W94" s="6"/>
      <c r="X94" s="6"/>
      <c r="Y94" s="6"/>
      <c r="Z94" s="6"/>
      <c r="AA94" s="6"/>
      <c r="AB94" s="6"/>
      <c r="AC94" s="6"/>
      <c r="AD94" s="6"/>
      <c r="AE94" s="6"/>
      <c r="AF94" s="6"/>
      <c r="AG94" s="6"/>
      <c r="AH94" s="6"/>
      <c r="AI94" s="6"/>
      <c r="AJ94" s="6"/>
      <c r="AK94" s="6"/>
      <c r="AL94" s="6"/>
      <c r="AM94" s="6"/>
    </row>
    <row r="95" spans="1:99" ht="18" customHeight="1" x14ac:dyDescent="0.3">
      <c r="B95" s="845"/>
      <c r="C95" s="18" t="s">
        <v>451</v>
      </c>
      <c r="D95" s="18" t="s">
        <v>452</v>
      </c>
      <c r="E95" s="18" t="s">
        <v>453</v>
      </c>
      <c r="F95" s="18" t="s">
        <v>454</v>
      </c>
      <c r="G95" s="18" t="s">
        <v>1757</v>
      </c>
      <c r="H95" s="18" t="s">
        <v>1758</v>
      </c>
      <c r="I95" s="925" t="s">
        <v>1941</v>
      </c>
      <c r="J95" s="925"/>
      <c r="K95" s="925"/>
      <c r="L95" s="925"/>
      <c r="M95" s="878"/>
      <c r="N95" s="878"/>
      <c r="O95" s="878"/>
      <c r="P95" s="1584"/>
      <c r="R95" s="151"/>
      <c r="S95" s="34"/>
      <c r="T95" s="77"/>
      <c r="U95" s="109"/>
      <c r="V95" s="6"/>
      <c r="W95" s="6"/>
      <c r="X95" s="6"/>
      <c r="Y95" s="6"/>
      <c r="Z95" s="6"/>
      <c r="AA95" s="6"/>
      <c r="AB95" s="6"/>
      <c r="AC95" s="6"/>
      <c r="AD95" s="6"/>
      <c r="AE95" s="6"/>
      <c r="AF95" s="6"/>
      <c r="AG95" s="6"/>
      <c r="AH95" s="6"/>
      <c r="AI95" s="6"/>
      <c r="AJ95" s="6"/>
      <c r="AK95" s="6"/>
      <c r="AL95" s="6"/>
      <c r="AM95" s="6"/>
    </row>
    <row r="96" spans="1:99" ht="18" customHeight="1" x14ac:dyDescent="0.3">
      <c r="B96" s="846"/>
      <c r="C96" s="248">
        <f>O56</f>
        <v>0</v>
      </c>
      <c r="D96" s="248">
        <f>O57</f>
        <v>0</v>
      </c>
      <c r="E96" s="248">
        <f>O58</f>
        <v>0</v>
      </c>
      <c r="F96" s="248">
        <f>O59</f>
        <v>0</v>
      </c>
      <c r="G96" s="248">
        <f>O60</f>
        <v>0</v>
      </c>
      <c r="H96" s="248">
        <f>O61</f>
        <v>0</v>
      </c>
      <c r="I96" s="925" t="s">
        <v>1941</v>
      </c>
      <c r="J96" s="925"/>
      <c r="K96" s="925"/>
      <c r="L96" s="925"/>
      <c r="M96" s="878"/>
      <c r="N96" s="878"/>
      <c r="O96" s="878"/>
      <c r="P96" s="1584"/>
      <c r="R96" s="151"/>
      <c r="S96" s="34"/>
      <c r="T96" s="77"/>
      <c r="U96" s="109"/>
      <c r="V96" s="6"/>
      <c r="W96" s="6"/>
      <c r="X96" s="6"/>
      <c r="Y96" s="6"/>
      <c r="Z96" s="6"/>
      <c r="AA96" s="6"/>
      <c r="AB96" s="6"/>
      <c r="AC96" s="6"/>
      <c r="AD96" s="6"/>
      <c r="AE96" s="6"/>
      <c r="AF96" s="6"/>
      <c r="AG96" s="6"/>
      <c r="AH96" s="6"/>
      <c r="AI96" s="6"/>
      <c r="AJ96" s="6"/>
      <c r="AK96" s="6"/>
      <c r="AL96" s="6"/>
      <c r="AM96" s="6"/>
    </row>
    <row r="97" spans="2:39" ht="18" customHeight="1" x14ac:dyDescent="0.3">
      <c r="B97" s="846"/>
      <c r="C97" s="18" t="s">
        <v>1759</v>
      </c>
      <c r="D97" s="18" t="s">
        <v>1760</v>
      </c>
      <c r="E97" s="18" t="s">
        <v>1761</v>
      </c>
      <c r="F97" s="18" t="s">
        <v>1762</v>
      </c>
      <c r="G97" s="18" t="s">
        <v>1763</v>
      </c>
      <c r="H97" s="18" t="s">
        <v>1764</v>
      </c>
      <c r="I97" s="925" t="s">
        <v>1941</v>
      </c>
      <c r="J97" s="925"/>
      <c r="K97" s="925"/>
      <c r="L97" s="925"/>
      <c r="M97" s="878"/>
      <c r="N97" s="878"/>
      <c r="O97" s="878"/>
      <c r="P97" s="1584"/>
      <c r="R97" s="151"/>
      <c r="S97" s="34"/>
      <c r="T97" s="77"/>
      <c r="U97" s="109"/>
      <c r="V97" s="6"/>
      <c r="W97" s="6"/>
      <c r="X97" s="6"/>
      <c r="Y97" s="6"/>
      <c r="Z97" s="6"/>
      <c r="AA97" s="6"/>
      <c r="AB97" s="6"/>
      <c r="AC97" s="6"/>
      <c r="AD97" s="6"/>
      <c r="AE97" s="6"/>
      <c r="AF97" s="6"/>
      <c r="AG97" s="6"/>
      <c r="AH97" s="6"/>
      <c r="AI97" s="6"/>
      <c r="AJ97" s="6"/>
      <c r="AK97" s="6"/>
      <c r="AL97" s="6"/>
      <c r="AM97" s="6"/>
    </row>
    <row r="98" spans="2:39" ht="18" customHeight="1" x14ac:dyDescent="0.3">
      <c r="B98" s="847"/>
      <c r="C98" s="248">
        <f>O62</f>
        <v>0</v>
      </c>
      <c r="D98" s="248">
        <f>O63</f>
        <v>0</v>
      </c>
      <c r="E98" s="248">
        <f>O64</f>
        <v>0</v>
      </c>
      <c r="F98" s="248">
        <f>O65</f>
        <v>0</v>
      </c>
      <c r="G98" s="248">
        <f>O66</f>
        <v>0</v>
      </c>
      <c r="H98" s="248">
        <f>O67</f>
        <v>0</v>
      </c>
      <c r="I98" s="925" t="s">
        <v>1941</v>
      </c>
      <c r="J98" s="925"/>
      <c r="K98" s="925"/>
      <c r="L98" s="925"/>
      <c r="M98" s="878"/>
      <c r="N98" s="878"/>
      <c r="O98" s="878"/>
      <c r="P98" s="1584"/>
      <c r="R98" s="151"/>
      <c r="S98" s="34"/>
      <c r="T98" s="77"/>
      <c r="U98" s="109"/>
      <c r="V98" s="6"/>
      <c r="W98" s="6"/>
      <c r="X98" s="6"/>
      <c r="Y98" s="6"/>
      <c r="Z98" s="6"/>
      <c r="AA98" s="6"/>
      <c r="AB98" s="6"/>
      <c r="AC98" s="6"/>
      <c r="AD98" s="6"/>
      <c r="AE98" s="6"/>
      <c r="AF98" s="6"/>
      <c r="AG98" s="6"/>
      <c r="AH98" s="6"/>
      <c r="AI98" s="6"/>
      <c r="AJ98" s="6"/>
      <c r="AK98" s="6"/>
      <c r="AL98" s="6"/>
      <c r="AM98" s="6"/>
    </row>
    <row r="99" spans="2:39" ht="18" customHeight="1" x14ac:dyDescent="0.3">
      <c r="B99" s="806" t="s">
        <v>1342</v>
      </c>
      <c r="C99" s="806"/>
      <c r="D99" s="806"/>
      <c r="E99" s="806"/>
      <c r="F99" s="806"/>
      <c r="G99" s="770">
        <f>P81</f>
        <v>0</v>
      </c>
      <c r="H99" s="770"/>
      <c r="I99" s="925" t="s">
        <v>1941</v>
      </c>
      <c r="J99" s="925"/>
      <c r="K99" s="925"/>
      <c r="L99" s="925"/>
      <c r="M99" s="878"/>
      <c r="N99" s="878"/>
      <c r="O99" s="878"/>
      <c r="P99" s="1584"/>
      <c r="R99" s="7"/>
      <c r="S99" s="34"/>
      <c r="T99" s="77"/>
      <c r="U99" s="109"/>
      <c r="V99" s="102"/>
      <c r="W99" s="6"/>
      <c r="X99" s="6"/>
      <c r="Y99" s="6"/>
      <c r="Z99" s="6"/>
      <c r="AA99" s="6"/>
      <c r="AB99" s="6"/>
      <c r="AC99" s="6"/>
      <c r="AD99" s="6"/>
      <c r="AE99" s="6"/>
      <c r="AF99" s="6"/>
      <c r="AG99" s="6"/>
      <c r="AH99" s="6"/>
      <c r="AI99" s="6"/>
      <c r="AJ99" s="6"/>
      <c r="AK99" s="6"/>
      <c r="AL99" s="6"/>
      <c r="AM99" s="6"/>
    </row>
    <row r="100" spans="2:39" ht="18" customHeight="1" x14ac:dyDescent="0.3">
      <c r="B100" s="806" t="s">
        <v>596</v>
      </c>
      <c r="C100" s="806"/>
      <c r="D100" s="806"/>
      <c r="E100" s="806"/>
      <c r="F100" s="806"/>
      <c r="G100" s="770">
        <f>P83</f>
        <v>0</v>
      </c>
      <c r="H100" s="746"/>
      <c r="I100" s="1582"/>
      <c r="J100" s="1583"/>
      <c r="K100" s="1188">
        <f>IF(I100="",0,IF(AND(G100*I100&gt;0,G100*I100&lt;0.01),0.01,ROUND(G100*I100,2)))</f>
        <v>0</v>
      </c>
      <c r="L100" s="1188"/>
      <c r="M100" s="878"/>
      <c r="N100" s="878"/>
      <c r="O100" s="878"/>
      <c r="P100" s="1584"/>
      <c r="S100" s="34"/>
      <c r="T100" s="77"/>
      <c r="U100" s="109"/>
      <c r="V100" s="102"/>
      <c r="W100" s="102"/>
      <c r="X100" s="6"/>
      <c r="Y100" s="6"/>
      <c r="Z100" s="6"/>
      <c r="AA100" s="6"/>
      <c r="AB100" s="6"/>
      <c r="AC100" s="6"/>
      <c r="AD100" s="6"/>
      <c r="AE100" s="6"/>
      <c r="AF100" s="6"/>
      <c r="AG100" s="6"/>
      <c r="AH100" s="6"/>
      <c r="AI100" s="6"/>
      <c r="AJ100" s="6"/>
      <c r="AK100" s="6"/>
      <c r="AL100" s="6"/>
      <c r="AM100" s="6"/>
    </row>
    <row r="101" spans="2:39" ht="18" customHeight="1" x14ac:dyDescent="0.3">
      <c r="B101" s="878"/>
      <c r="C101" s="878"/>
      <c r="D101" s="878"/>
      <c r="E101" s="878"/>
      <c r="F101" s="878"/>
      <c r="G101" s="878"/>
      <c r="H101" s="878"/>
      <c r="I101" s="878"/>
      <c r="J101" s="878"/>
      <c r="K101" s="1585" t="s">
        <v>1559</v>
      </c>
      <c r="L101" s="1585"/>
      <c r="M101" s="1585"/>
      <c r="N101" s="1585"/>
      <c r="O101" s="1585"/>
      <c r="P101" s="1584"/>
      <c r="S101" s="77"/>
      <c r="T101" s="109"/>
      <c r="U101" s="6"/>
      <c r="V101" s="102"/>
      <c r="W101" s="102"/>
      <c r="X101" s="6"/>
      <c r="Y101" s="6"/>
      <c r="Z101" s="6"/>
      <c r="AA101" s="6"/>
      <c r="AB101" s="6"/>
      <c r="AC101" s="6"/>
      <c r="AD101" s="6"/>
      <c r="AE101" s="6"/>
      <c r="AF101" s="6"/>
      <c r="AG101" s="6"/>
      <c r="AH101" s="6"/>
      <c r="AI101" s="6"/>
      <c r="AJ101" s="6"/>
      <c r="AK101" s="6"/>
      <c r="AL101" s="6"/>
      <c r="AM101" s="6"/>
    </row>
    <row r="102" spans="2:39" ht="11.25" customHeight="1" x14ac:dyDescent="0.3">
      <c r="B102" s="712"/>
      <c r="C102" s="712"/>
      <c r="D102" s="712"/>
      <c r="E102" s="712"/>
      <c r="F102" s="712"/>
      <c r="G102" s="712"/>
      <c r="H102" s="712"/>
      <c r="I102" s="712"/>
      <c r="J102" s="712"/>
      <c r="K102" s="712"/>
      <c r="L102" s="712"/>
      <c r="M102" s="712"/>
      <c r="N102" s="712"/>
      <c r="O102" s="712"/>
      <c r="P102" s="712"/>
      <c r="R102" s="6"/>
      <c r="S102" s="6"/>
      <c r="T102" s="6"/>
      <c r="U102" s="6"/>
      <c r="V102" s="5"/>
      <c r="W102" s="106"/>
      <c r="X102" s="6"/>
      <c r="Y102" s="6"/>
      <c r="Z102" s="6"/>
      <c r="AA102" s="6"/>
      <c r="AB102" s="6"/>
      <c r="AC102" s="6"/>
      <c r="AD102" s="6"/>
      <c r="AE102" s="6"/>
      <c r="AF102" s="6"/>
      <c r="AG102" s="6"/>
      <c r="AH102" s="102"/>
      <c r="AI102" s="6"/>
      <c r="AJ102" s="6"/>
      <c r="AK102" s="6"/>
      <c r="AL102" s="6"/>
      <c r="AM102" s="6"/>
    </row>
    <row r="103" spans="2:39" ht="18" customHeight="1" x14ac:dyDescent="0.3">
      <c r="B103" s="907" t="s">
        <v>60</v>
      </c>
      <c r="C103" s="908"/>
      <c r="D103" s="908"/>
      <c r="E103" s="908"/>
      <c r="F103" s="908"/>
      <c r="G103" s="908"/>
      <c r="H103" s="908"/>
      <c r="I103" s="908"/>
      <c r="J103" s="908"/>
      <c r="K103" s="908"/>
      <c r="L103" s="908"/>
      <c r="M103" s="908"/>
      <c r="N103" s="908"/>
      <c r="O103" s="909"/>
      <c r="P103" s="872">
        <f>U106</f>
        <v>0</v>
      </c>
      <c r="R103" s="6"/>
      <c r="S103" s="13" t="s">
        <v>1597</v>
      </c>
      <c r="T103" s="13" t="s">
        <v>211</v>
      </c>
      <c r="U103" s="13" t="s">
        <v>1156</v>
      </c>
      <c r="V103" s="5"/>
      <c r="W103" s="106"/>
      <c r="X103" s="6"/>
      <c r="Y103" s="6"/>
      <c r="Z103" s="6"/>
      <c r="AA103" s="6"/>
      <c r="AB103" s="6"/>
      <c r="AC103" s="6"/>
      <c r="AD103" s="6"/>
      <c r="AE103" s="6"/>
      <c r="AF103" s="6"/>
      <c r="AG103" s="6"/>
      <c r="AH103" s="102"/>
      <c r="AI103" s="6"/>
      <c r="AJ103" s="6"/>
      <c r="AK103" s="6"/>
      <c r="AL103" s="6"/>
      <c r="AM103" s="6"/>
    </row>
    <row r="104" spans="2:39" ht="18" customHeight="1" x14ac:dyDescent="0.3">
      <c r="B104" s="776" t="s">
        <v>1148</v>
      </c>
      <c r="C104" s="776"/>
      <c r="D104" s="776"/>
      <c r="E104" s="776"/>
      <c r="F104" s="776"/>
      <c r="G104" s="776"/>
      <c r="H104" s="776"/>
      <c r="I104" s="776"/>
      <c r="J104" s="708"/>
      <c r="K104" s="708"/>
      <c r="L104" s="146"/>
      <c r="M104" s="762">
        <f>'Sp-Table'!N12</f>
        <v>0</v>
      </c>
      <c r="N104" s="762"/>
      <c r="O104" s="43"/>
      <c r="P104" s="1010"/>
      <c r="R104" s="6"/>
      <c r="S104" s="13">
        <v>60</v>
      </c>
      <c r="T104" s="13" t="str">
        <f>IF(OR(J104="",J104="NA"),"",IF(J104&gt;S104,S104,IF(J104&lt;0,0,J104)))</f>
        <v/>
      </c>
      <c r="U104" s="12">
        <f>SUM(M104:M107)</f>
        <v>0</v>
      </c>
      <c r="V104" s="5"/>
      <c r="W104" s="106"/>
      <c r="X104" s="107"/>
      <c r="Y104" s="102"/>
      <c r="Z104" s="102"/>
      <c r="AA104" s="102"/>
      <c r="AB104" s="102"/>
      <c r="AC104" s="6"/>
      <c r="AD104" s="6"/>
      <c r="AE104" s="6"/>
      <c r="AF104" s="6"/>
      <c r="AG104" s="6"/>
      <c r="AH104" s="6"/>
      <c r="AI104" s="6"/>
      <c r="AJ104" s="6"/>
      <c r="AK104" s="6"/>
      <c r="AL104" s="6"/>
      <c r="AM104" s="6"/>
    </row>
    <row r="105" spans="2:39" ht="18" customHeight="1" x14ac:dyDescent="0.3">
      <c r="B105" s="776" t="s">
        <v>1149</v>
      </c>
      <c r="C105" s="776"/>
      <c r="D105" s="776"/>
      <c r="E105" s="776"/>
      <c r="F105" s="776"/>
      <c r="G105" s="776"/>
      <c r="H105" s="776"/>
      <c r="I105" s="776"/>
      <c r="J105" s="708"/>
      <c r="K105" s="708"/>
      <c r="L105" s="146"/>
      <c r="M105" s="762">
        <f>'Sp-Table'!N13</f>
        <v>0</v>
      </c>
      <c r="N105" s="762"/>
      <c r="O105" s="43"/>
      <c r="P105" s="1010"/>
      <c r="R105" s="6"/>
      <c r="S105" s="13">
        <v>25</v>
      </c>
      <c r="T105" s="13" t="str">
        <f>IF(OR(J105="",J105="NA"),"",IF(J105&gt;S105,S105,IF(J105&lt;0,0,J105)))</f>
        <v/>
      </c>
      <c r="U105" s="35">
        <f>IF(AND(U104&gt;0,U104&lt;0.01),0.01,U104)</f>
        <v>0</v>
      </c>
      <c r="V105" s="5"/>
      <c r="W105" s="106"/>
      <c r="X105" s="6"/>
      <c r="Y105" s="6"/>
      <c r="Z105" s="6"/>
      <c r="AA105" s="6"/>
      <c r="AB105" s="6"/>
      <c r="AC105" s="6"/>
      <c r="AD105" s="6"/>
      <c r="AE105" s="6"/>
      <c r="AF105" s="6"/>
      <c r="AG105" s="6"/>
      <c r="AH105" s="6"/>
      <c r="AI105" s="6"/>
      <c r="AJ105" s="6"/>
      <c r="AK105" s="6"/>
      <c r="AL105" s="6"/>
      <c r="AM105" s="6"/>
    </row>
    <row r="106" spans="2:39" ht="18" customHeight="1" x14ac:dyDescent="0.3">
      <c r="B106" s="776" t="s">
        <v>1150</v>
      </c>
      <c r="C106" s="776"/>
      <c r="D106" s="776"/>
      <c r="E106" s="776"/>
      <c r="F106" s="776"/>
      <c r="G106" s="776"/>
      <c r="H106" s="776"/>
      <c r="I106" s="776"/>
      <c r="J106" s="708"/>
      <c r="K106" s="708"/>
      <c r="L106" s="146"/>
      <c r="M106" s="762">
        <f>'Sp-Table'!N14</f>
        <v>0</v>
      </c>
      <c r="N106" s="762"/>
      <c r="O106" s="43"/>
      <c r="P106" s="1010"/>
      <c r="R106" s="6"/>
      <c r="S106" s="13">
        <v>25</v>
      </c>
      <c r="T106" s="13" t="str">
        <f>IF(OR(J106="",J106="NA"),"",IF(J106&gt;S106,S106,IF(J106&lt;0,0,J106)))</f>
        <v/>
      </c>
      <c r="U106" s="12">
        <f>ROUND(U105,2)</f>
        <v>0</v>
      </c>
      <c r="V106" s="5"/>
      <c r="W106" s="106"/>
      <c r="X106" s="6"/>
      <c r="Y106" s="6"/>
      <c r="Z106" s="6"/>
      <c r="AA106" s="6"/>
      <c r="AB106" s="6"/>
      <c r="AC106" s="6"/>
      <c r="AD106" s="6"/>
      <c r="AE106" s="6"/>
      <c r="AF106" s="6"/>
      <c r="AG106" s="6"/>
      <c r="AH106" s="6"/>
      <c r="AI106" s="6"/>
      <c r="AJ106" s="6"/>
      <c r="AK106" s="6"/>
      <c r="AL106" s="6"/>
      <c r="AM106" s="6"/>
    </row>
    <row r="107" spans="2:39" ht="18" customHeight="1" x14ac:dyDescent="0.3">
      <c r="B107" s="776" t="s">
        <v>1151</v>
      </c>
      <c r="C107" s="776"/>
      <c r="D107" s="776"/>
      <c r="E107" s="776"/>
      <c r="F107" s="776"/>
      <c r="G107" s="776"/>
      <c r="H107" s="776"/>
      <c r="I107" s="776"/>
      <c r="J107" s="708"/>
      <c r="K107" s="708"/>
      <c r="L107" s="146"/>
      <c r="M107" s="762">
        <f>'Sp-Table'!N15</f>
        <v>0</v>
      </c>
      <c r="N107" s="762"/>
      <c r="O107" s="43"/>
      <c r="P107" s="1010"/>
      <c r="R107" s="6"/>
      <c r="S107" s="13">
        <v>25</v>
      </c>
      <c r="T107" s="13" t="str">
        <f>IF(OR(J107="",J107="NA"),"",IF(J107&gt;S107,S107,IF(J107&lt;0,0,J107)))</f>
        <v/>
      </c>
      <c r="U107" s="6"/>
      <c r="V107" s="5"/>
      <c r="W107" s="106"/>
      <c r="X107" s="107"/>
      <c r="Y107" s="102"/>
      <c r="Z107" s="102"/>
      <c r="AA107" s="102"/>
      <c r="AB107" s="102"/>
      <c r="AC107" s="6"/>
      <c r="AD107" s="6"/>
      <c r="AE107" s="6"/>
      <c r="AF107" s="6"/>
      <c r="AG107" s="6"/>
      <c r="AH107" s="6"/>
      <c r="AI107" s="6"/>
      <c r="AJ107" s="6"/>
      <c r="AK107" s="6"/>
      <c r="AL107" s="6"/>
      <c r="AM107" s="6"/>
    </row>
    <row r="108" spans="2:39" ht="18" customHeight="1" x14ac:dyDescent="0.3">
      <c r="B108" s="1498" t="s">
        <v>1152</v>
      </c>
      <c r="C108" s="1499"/>
      <c r="D108" s="1499"/>
      <c r="E108" s="1499"/>
      <c r="F108" s="1499"/>
      <c r="G108" s="1499"/>
      <c r="H108" s="1499"/>
      <c r="I108" s="1499"/>
      <c r="J108" s="1499"/>
      <c r="K108" s="1499"/>
      <c r="L108" s="1499"/>
      <c r="M108" s="1499"/>
      <c r="N108" s="1499"/>
      <c r="O108" s="1500"/>
      <c r="P108" s="996"/>
      <c r="R108" s="6"/>
      <c r="S108" s="6"/>
      <c r="T108" s="6"/>
      <c r="U108" s="6"/>
      <c r="V108" s="5"/>
      <c r="W108" s="106"/>
      <c r="X108" s="107"/>
      <c r="Y108" s="102"/>
      <c r="Z108" s="102"/>
      <c r="AA108" s="102"/>
      <c r="AB108" s="102"/>
      <c r="AC108" s="6"/>
      <c r="AD108" s="6"/>
      <c r="AE108" s="6"/>
      <c r="AF108" s="6"/>
      <c r="AG108" s="6"/>
      <c r="AH108" s="6"/>
      <c r="AI108" s="6"/>
      <c r="AJ108" s="6"/>
      <c r="AK108" s="6"/>
      <c r="AL108" s="6"/>
      <c r="AM108" s="6"/>
    </row>
    <row r="109" spans="2:39" ht="18" customHeight="1" x14ac:dyDescent="0.3">
      <c r="B109" s="1506"/>
      <c r="C109" s="1506"/>
      <c r="D109" s="1506"/>
      <c r="E109" s="1506"/>
      <c r="F109" s="1506"/>
      <c r="G109" s="1506"/>
      <c r="H109" s="1506"/>
      <c r="I109" s="1506"/>
      <c r="J109" s="1506"/>
      <c r="K109" s="1506"/>
      <c r="L109" s="1506"/>
      <c r="M109" s="1506"/>
      <c r="N109" s="1506"/>
      <c r="O109" s="1506"/>
      <c r="P109" s="1506"/>
      <c r="R109" s="6"/>
      <c r="S109" s="6"/>
      <c r="T109" s="6"/>
      <c r="U109" s="6"/>
      <c r="V109" s="5"/>
      <c r="W109" s="106"/>
      <c r="X109" s="107"/>
      <c r="Y109" s="102"/>
      <c r="Z109" s="102"/>
      <c r="AA109" s="102"/>
      <c r="AB109" s="102"/>
      <c r="AC109" s="6"/>
      <c r="AD109" s="6"/>
      <c r="AE109" s="6"/>
      <c r="AF109" s="6"/>
      <c r="AG109" s="6"/>
      <c r="AH109" s="6"/>
      <c r="AI109" s="6"/>
      <c r="AJ109" s="6"/>
      <c r="AK109" s="6"/>
      <c r="AL109" s="6"/>
      <c r="AM109" s="6"/>
    </row>
    <row r="110" spans="2:39" ht="18" customHeight="1" x14ac:dyDescent="0.3">
      <c r="B110" s="1591" t="s">
        <v>88</v>
      </c>
      <c r="C110" s="1592"/>
      <c r="D110" s="1592"/>
      <c r="E110" s="1593"/>
      <c r="F110" s="18" t="s">
        <v>89</v>
      </c>
      <c r="G110" s="40"/>
      <c r="H110" s="49">
        <f>IF(OR(G110="NA",G110=0,G110=""),0,IF(G110/100&lt;=0.25,0.05,IF(G110/100&lt;=0.5,0.07,IF(G110/100&gt;0.5,0.12,""))))</f>
        <v>0</v>
      </c>
      <c r="I110" s="1591" t="s">
        <v>2285</v>
      </c>
      <c r="J110" s="1614"/>
      <c r="K110" s="1614"/>
      <c r="L110" s="1615"/>
      <c r="M110" s="18" t="s">
        <v>89</v>
      </c>
      <c r="N110" s="40"/>
      <c r="O110" s="49">
        <f>IF(N110="X",0.05,0)</f>
        <v>0</v>
      </c>
      <c r="P110" s="508"/>
      <c r="R110" s="6"/>
      <c r="S110" s="6"/>
      <c r="T110" s="6"/>
      <c r="U110" s="6"/>
      <c r="V110" s="5"/>
      <c r="W110" s="106"/>
      <c r="X110" s="107"/>
      <c r="Y110" s="102"/>
      <c r="Z110" s="102"/>
      <c r="AA110" s="102"/>
      <c r="AB110" s="102"/>
      <c r="AC110" s="6"/>
      <c r="AD110" s="6"/>
      <c r="AE110" s="6"/>
      <c r="AF110" s="6"/>
      <c r="AG110" s="6"/>
      <c r="AH110" s="6"/>
      <c r="AI110" s="6"/>
      <c r="AJ110" s="6"/>
      <c r="AK110" s="6"/>
      <c r="AL110" s="6"/>
      <c r="AM110" s="6"/>
    </row>
    <row r="111" spans="2:39" ht="18" customHeight="1" x14ac:dyDescent="0.3">
      <c r="B111" s="1594"/>
      <c r="C111" s="1595"/>
      <c r="D111" s="1595"/>
      <c r="E111" s="1596"/>
      <c r="F111" s="18" t="s">
        <v>90</v>
      </c>
      <c r="G111" s="40"/>
      <c r="H111" s="49">
        <f>IF(OR(G111="NA",G111=""),0,IF(G111/100&lt;=0.25,0.05,IF(G111/100&lt;=0.5,0.07,IF(G111/100&gt;0.5,0.12,""))))</f>
        <v>0</v>
      </c>
      <c r="I111" s="1616"/>
      <c r="J111" s="1617"/>
      <c r="K111" s="1617"/>
      <c r="L111" s="1618"/>
      <c r="M111" s="18" t="s">
        <v>90</v>
      </c>
      <c r="N111" s="40"/>
      <c r="O111" s="49">
        <f>IF(N111="X",0.05,0)</f>
        <v>0</v>
      </c>
      <c r="P111" s="509"/>
      <c r="R111" s="6"/>
      <c r="S111" s="6"/>
      <c r="T111" s="6"/>
      <c r="U111" s="6"/>
      <c r="V111" s="5"/>
      <c r="W111" s="106"/>
      <c r="X111" s="107"/>
      <c r="Y111" s="102"/>
      <c r="Z111" s="102"/>
      <c r="AA111" s="102"/>
      <c r="AB111" s="102"/>
      <c r="AC111" s="6"/>
      <c r="AD111" s="6"/>
      <c r="AE111" s="6"/>
      <c r="AF111" s="6"/>
      <c r="AG111" s="6"/>
      <c r="AH111" s="6"/>
      <c r="AI111" s="6"/>
      <c r="AJ111" s="6"/>
      <c r="AK111" s="6"/>
      <c r="AL111" s="6"/>
      <c r="AM111" s="6"/>
    </row>
    <row r="112" spans="2:39" ht="16.5" customHeight="1" x14ac:dyDescent="0.3">
      <c r="B112" s="1594"/>
      <c r="C112" s="1595"/>
      <c r="D112" s="1595"/>
      <c r="E112" s="1596"/>
      <c r="F112" s="18" t="s">
        <v>91</v>
      </c>
      <c r="G112" s="40"/>
      <c r="H112" s="49">
        <f>IF(OR(G112="NA",G112=""),0,IF(G112/100&lt;=0.25,0.05,IF(G112/100&lt;=0.5,0.07,IF(G112/100&gt;0.5,0.12,""))))</f>
        <v>0</v>
      </c>
      <c r="I112" s="1616"/>
      <c r="J112" s="1617"/>
      <c r="K112" s="1617"/>
      <c r="L112" s="1618"/>
      <c r="M112" s="18" t="s">
        <v>91</v>
      </c>
      <c r="N112" s="40"/>
      <c r="O112" s="49">
        <f>IF(N112="X",0.05,0)</f>
        <v>0</v>
      </c>
      <c r="P112" s="509"/>
      <c r="R112" s="6"/>
      <c r="S112" s="6"/>
      <c r="T112" s="6"/>
      <c r="U112" s="6"/>
      <c r="V112" s="5"/>
      <c r="W112" s="106"/>
      <c r="X112" s="107"/>
      <c r="Y112" s="102"/>
      <c r="Z112" s="102"/>
      <c r="AA112" s="102"/>
      <c r="AB112" s="102"/>
      <c r="AC112" s="6"/>
      <c r="AD112" s="6"/>
      <c r="AE112" s="6"/>
      <c r="AF112" s="6"/>
      <c r="AG112" s="6"/>
      <c r="AH112" s="6"/>
      <c r="AI112" s="6"/>
      <c r="AJ112" s="6"/>
      <c r="AK112" s="6"/>
      <c r="AL112" s="6"/>
      <c r="AM112" s="6"/>
    </row>
    <row r="113" spans="2:39" ht="18" customHeight="1" x14ac:dyDescent="0.3">
      <c r="B113" s="1594"/>
      <c r="C113" s="1595"/>
      <c r="D113" s="1595"/>
      <c r="E113" s="1596"/>
      <c r="F113" s="3" t="s">
        <v>92</v>
      </c>
      <c r="G113" s="40"/>
      <c r="H113" s="49">
        <f>IF(OR(G113="NA",G113=""),0,IF(G113/100&lt;=0.25,0.05,IF(G113/100&lt;=0.5,0.07,IF(G113/100&gt;0.5,0.12,""))))</f>
        <v>0</v>
      </c>
      <c r="I113" s="1616"/>
      <c r="J113" s="1617"/>
      <c r="K113" s="1617"/>
      <c r="L113" s="1618"/>
      <c r="M113" s="3" t="s">
        <v>92</v>
      </c>
      <c r="N113" s="40"/>
      <c r="O113" s="49">
        <f>IF(N113="X",0.05,0)</f>
        <v>0</v>
      </c>
      <c r="P113" s="509"/>
      <c r="R113" s="6"/>
      <c r="S113" s="6"/>
      <c r="T113" s="6"/>
      <c r="U113" s="6"/>
      <c r="V113" s="5"/>
      <c r="W113" s="106"/>
      <c r="X113" s="107"/>
      <c r="Y113" s="102"/>
      <c r="Z113" s="102"/>
      <c r="AA113" s="102"/>
      <c r="AB113" s="102"/>
      <c r="AC113" s="6"/>
      <c r="AD113" s="6"/>
      <c r="AE113" s="6"/>
      <c r="AF113" s="6"/>
      <c r="AG113" s="6"/>
      <c r="AH113" s="6"/>
      <c r="AI113" s="6"/>
      <c r="AJ113" s="6"/>
      <c r="AK113" s="6"/>
      <c r="AL113" s="6"/>
      <c r="AM113" s="6"/>
    </row>
    <row r="114" spans="2:39" ht="18" customHeight="1" x14ac:dyDescent="0.3">
      <c r="B114" s="1597"/>
      <c r="C114" s="1598"/>
      <c r="D114" s="1598"/>
      <c r="E114" s="1599"/>
      <c r="F114" s="4" t="s">
        <v>93</v>
      </c>
      <c r="G114" s="40"/>
      <c r="H114" s="21">
        <f>IF(OR(G114="NA",G114=""),0,IF(G114/100&lt;=0.25,0.05,IF(G114/100&lt;=0.5,0.07,IF(G114/100&gt;0.5,0.12,""))))</f>
        <v>0</v>
      </c>
      <c r="I114" s="1619"/>
      <c r="J114" s="1620"/>
      <c r="K114" s="1620"/>
      <c r="L114" s="1621"/>
      <c r="M114" s="4" t="s">
        <v>93</v>
      </c>
      <c r="N114" s="40"/>
      <c r="O114" s="64">
        <f>IF(N114="X",0.05,0)</f>
        <v>0</v>
      </c>
      <c r="P114" s="196"/>
      <c r="R114" s="6"/>
      <c r="S114" s="6"/>
      <c r="T114" s="6"/>
      <c r="U114" s="6"/>
      <c r="V114" s="5"/>
      <c r="W114" s="106"/>
      <c r="X114" s="107"/>
      <c r="Y114" s="102"/>
      <c r="Z114" s="102"/>
      <c r="AA114" s="102"/>
      <c r="AB114" s="102"/>
      <c r="AC114" s="6"/>
      <c r="AD114" s="6"/>
      <c r="AE114" s="6"/>
      <c r="AF114" s="6"/>
      <c r="AG114" s="6"/>
      <c r="AH114" s="6"/>
      <c r="AI114" s="6"/>
      <c r="AJ114" s="6"/>
      <c r="AK114" s="6"/>
      <c r="AL114" s="6"/>
      <c r="AM114" s="6"/>
    </row>
    <row r="115" spans="2:39" ht="18" customHeight="1" x14ac:dyDescent="0.3">
      <c r="B115" s="907" t="s">
        <v>1868</v>
      </c>
      <c r="C115" s="908"/>
      <c r="D115" s="908"/>
      <c r="E115" s="908"/>
      <c r="F115" s="908"/>
      <c r="G115" s="908"/>
      <c r="H115" s="908"/>
      <c r="I115" s="908"/>
      <c r="J115" s="908"/>
      <c r="K115" s="908"/>
      <c r="L115" s="908"/>
      <c r="M115" s="908"/>
      <c r="N115" s="908"/>
      <c r="O115" s="909"/>
      <c r="R115" s="6"/>
      <c r="S115" s="6"/>
      <c r="T115" s="6"/>
      <c r="U115" s="6"/>
      <c r="V115" s="5"/>
      <c r="W115" s="106"/>
      <c r="X115" s="107"/>
      <c r="Y115" s="102"/>
      <c r="Z115" s="102"/>
      <c r="AA115" s="102"/>
      <c r="AB115" s="102"/>
      <c r="AC115" s="6"/>
      <c r="AD115" s="6"/>
      <c r="AE115" s="6"/>
      <c r="AF115" s="6"/>
      <c r="AG115" s="6"/>
      <c r="AH115" s="6"/>
      <c r="AI115" s="6"/>
      <c r="AJ115" s="6"/>
      <c r="AK115" s="6"/>
      <c r="AL115" s="6"/>
      <c r="AM115" s="6"/>
    </row>
    <row r="116" spans="2:39" ht="27" customHeight="1" x14ac:dyDescent="0.3">
      <c r="B116" s="771" t="s">
        <v>563</v>
      </c>
      <c r="C116" s="772"/>
      <c r="D116" s="772"/>
      <c r="E116" s="772"/>
      <c r="F116" s="772"/>
      <c r="G116" s="772"/>
      <c r="H116" s="772"/>
      <c r="I116" s="772"/>
      <c r="J116" s="772"/>
      <c r="K116" s="772"/>
      <c r="L116" s="772"/>
      <c r="M116" s="772"/>
      <c r="N116" s="765"/>
      <c r="O116" s="766"/>
      <c r="P116" s="1586" t="s">
        <v>2027</v>
      </c>
      <c r="R116" s="6"/>
      <c r="S116" s="6"/>
      <c r="T116" s="6"/>
      <c r="U116" s="6"/>
      <c r="V116" s="5"/>
      <c r="W116" s="106"/>
      <c r="X116" s="107"/>
      <c r="Y116" s="102"/>
      <c r="Z116" s="102"/>
      <c r="AA116" s="102"/>
      <c r="AB116" s="102"/>
      <c r="AC116" s="6"/>
      <c r="AD116" s="6"/>
      <c r="AE116" s="6"/>
      <c r="AF116" s="6"/>
      <c r="AG116" s="6"/>
      <c r="AH116" s="6"/>
      <c r="AI116" s="6"/>
      <c r="AJ116" s="6"/>
      <c r="AK116" s="6"/>
      <c r="AL116" s="6"/>
      <c r="AM116" s="6"/>
    </row>
    <row r="117" spans="2:39" ht="17.25" customHeight="1" x14ac:dyDescent="0.3">
      <c r="B117" s="18" t="s">
        <v>775</v>
      </c>
      <c r="C117" s="22" t="s">
        <v>89</v>
      </c>
      <c r="D117" s="22" t="s">
        <v>775</v>
      </c>
      <c r="E117" s="22" t="s">
        <v>90</v>
      </c>
      <c r="F117" s="22" t="s">
        <v>775</v>
      </c>
      <c r="G117" s="22" t="s">
        <v>91</v>
      </c>
      <c r="H117" s="22" t="s">
        <v>775</v>
      </c>
      <c r="I117" s="36" t="s">
        <v>92</v>
      </c>
      <c r="J117" s="36" t="s">
        <v>775</v>
      </c>
      <c r="K117" s="36" t="s">
        <v>93</v>
      </c>
      <c r="L117" s="36" t="s">
        <v>775</v>
      </c>
      <c r="M117" s="184" t="s">
        <v>838</v>
      </c>
      <c r="N117" s="185"/>
      <c r="O117" s="357"/>
      <c r="P117" s="1587"/>
      <c r="R117" s="6"/>
      <c r="S117" s="806" t="s">
        <v>2289</v>
      </c>
      <c r="T117" s="806"/>
      <c r="U117" s="806"/>
      <c r="V117" s="806"/>
      <c r="W117" s="806"/>
      <c r="X117" s="806"/>
      <c r="Y117" s="806"/>
      <c r="Z117" s="806"/>
      <c r="AA117" s="806"/>
      <c r="AB117" s="806"/>
      <c r="AC117" s="806"/>
      <c r="AD117" s="806"/>
      <c r="AE117" s="806"/>
      <c r="AF117" s="6" t="s">
        <v>776</v>
      </c>
      <c r="AG117" s="6" t="s">
        <v>777</v>
      </c>
      <c r="AH117" s="6"/>
      <c r="AI117" s="6"/>
      <c r="AJ117" s="6"/>
      <c r="AK117" s="6"/>
      <c r="AL117" s="6"/>
      <c r="AM117" s="6"/>
    </row>
    <row r="118" spans="2:39" ht="18" customHeight="1" x14ac:dyDescent="0.3">
      <c r="B118" s="40"/>
      <c r="C118" s="40"/>
      <c r="D118" s="40"/>
      <c r="E118" s="40"/>
      <c r="F118" s="40"/>
      <c r="G118" s="40"/>
      <c r="H118" s="40"/>
      <c r="I118" s="40"/>
      <c r="J118" s="40"/>
      <c r="K118" s="40"/>
      <c r="L118" s="40"/>
      <c r="M118" s="40"/>
      <c r="N118" s="186"/>
      <c r="O118" s="187"/>
      <c r="P118" s="1587"/>
      <c r="R118" s="6"/>
      <c r="S118" s="85">
        <f t="shared" ref="S118:AD118" si="22">IF(B118="X",1,0)</f>
        <v>0</v>
      </c>
      <c r="T118" s="111">
        <f t="shared" si="22"/>
        <v>0</v>
      </c>
      <c r="U118" s="111">
        <f t="shared" si="22"/>
        <v>0</v>
      </c>
      <c r="V118" s="111">
        <f t="shared" si="22"/>
        <v>0</v>
      </c>
      <c r="W118" s="111">
        <f t="shared" si="22"/>
        <v>0</v>
      </c>
      <c r="X118" s="111">
        <f t="shared" si="22"/>
        <v>0</v>
      </c>
      <c r="Y118" s="111">
        <f t="shared" si="22"/>
        <v>0</v>
      </c>
      <c r="Z118" s="111">
        <f t="shared" si="22"/>
        <v>0</v>
      </c>
      <c r="AA118" s="111">
        <f t="shared" si="22"/>
        <v>0</v>
      </c>
      <c r="AB118" s="111">
        <f t="shared" si="22"/>
        <v>0</v>
      </c>
      <c r="AC118" s="111">
        <f t="shared" si="22"/>
        <v>0</v>
      </c>
      <c r="AD118" s="111">
        <f t="shared" si="22"/>
        <v>0</v>
      </c>
      <c r="AE118" s="111"/>
      <c r="AF118" s="13">
        <f>SUM(T118, V118, X118, Z118, AB118, AD118)</f>
        <v>0</v>
      </c>
      <c r="AG118" s="13">
        <f>SUM(S118,U118, W118, Y118, AA118, AC118)</f>
        <v>0</v>
      </c>
      <c r="AH118" s="84">
        <f>IF(AND(AF118=0,AG118=0),0,0.09)</f>
        <v>0</v>
      </c>
      <c r="AI118" s="84" t="str">
        <f>IF(AF118&gt;2,(AF118-2)*0.01,"")</f>
        <v/>
      </c>
      <c r="AJ118" s="84" t="str">
        <f>IF(AG118&gt;1,(AG118-1)*0.01,"")</f>
        <v/>
      </c>
      <c r="AK118" s="52">
        <f>SUM(AH118:AJ118)</f>
        <v>0</v>
      </c>
      <c r="AL118" s="6"/>
      <c r="AM118" s="6"/>
    </row>
    <row r="119" spans="2:39" ht="18" customHeight="1" x14ac:dyDescent="0.3">
      <c r="B119" s="925"/>
      <c r="C119" s="925"/>
      <c r="D119" s="925"/>
      <c r="E119" s="925"/>
      <c r="F119" s="925"/>
      <c r="G119" s="925"/>
      <c r="H119" s="925"/>
      <c r="I119" s="925"/>
      <c r="J119" s="925"/>
      <c r="K119" s="925"/>
      <c r="L119" s="925" t="s">
        <v>778</v>
      </c>
      <c r="M119" s="925"/>
      <c r="N119" s="996">
        <f>AK118</f>
        <v>0</v>
      </c>
      <c r="O119" s="996"/>
      <c r="P119" s="1587"/>
      <c r="R119" s="6"/>
      <c r="S119" s="6"/>
      <c r="T119" s="6"/>
      <c r="U119" s="6"/>
      <c r="V119" s="6"/>
      <c r="W119" s="6"/>
      <c r="X119" s="6"/>
      <c r="Y119" s="6"/>
      <c r="Z119" s="6"/>
      <c r="AA119" s="6"/>
      <c r="AB119" s="6"/>
      <c r="AC119" s="6"/>
      <c r="AD119" s="6"/>
      <c r="AE119" s="6"/>
      <c r="AF119" s="6"/>
      <c r="AG119" s="6"/>
      <c r="AH119" s="34"/>
      <c r="AI119" s="34"/>
      <c r="AJ119" s="34"/>
      <c r="AK119" s="109"/>
      <c r="AL119" s="6"/>
      <c r="AM119" s="6"/>
    </row>
    <row r="120" spans="2:39" ht="27" customHeight="1" x14ac:dyDescent="0.3">
      <c r="B120" s="771" t="s">
        <v>767</v>
      </c>
      <c r="C120" s="772"/>
      <c r="D120" s="772"/>
      <c r="E120" s="772"/>
      <c r="F120" s="772"/>
      <c r="G120" s="772"/>
      <c r="H120" s="772"/>
      <c r="I120" s="772"/>
      <c r="J120" s="772"/>
      <c r="K120" s="772"/>
      <c r="L120" s="772"/>
      <c r="M120" s="772"/>
      <c r="N120" s="765"/>
      <c r="O120" s="766"/>
      <c r="P120" s="1587"/>
      <c r="R120" s="6"/>
      <c r="S120" s="6"/>
      <c r="T120" s="6"/>
      <c r="U120" s="6"/>
      <c r="V120" s="6"/>
      <c r="W120" s="6"/>
      <c r="X120" s="6"/>
      <c r="Y120" s="6"/>
      <c r="Z120" s="6"/>
      <c r="AA120" s="6"/>
      <c r="AB120" s="6"/>
      <c r="AC120" s="6"/>
      <c r="AD120" s="6"/>
      <c r="AE120" s="6"/>
      <c r="AF120" s="6"/>
      <c r="AG120" s="6"/>
      <c r="AH120" s="6"/>
      <c r="AI120" s="6"/>
      <c r="AJ120" s="6"/>
      <c r="AK120" s="6"/>
      <c r="AL120" s="6"/>
      <c r="AM120" s="6"/>
    </row>
    <row r="121" spans="2:39" ht="17.25" customHeight="1" x14ac:dyDescent="0.3">
      <c r="B121" s="18" t="s">
        <v>775</v>
      </c>
      <c r="C121" s="22" t="s">
        <v>89</v>
      </c>
      <c r="D121" s="22" t="s">
        <v>775</v>
      </c>
      <c r="E121" s="22" t="s">
        <v>90</v>
      </c>
      <c r="F121" s="22" t="s">
        <v>775</v>
      </c>
      <c r="G121" s="22" t="s">
        <v>91</v>
      </c>
      <c r="H121" s="22" t="s">
        <v>775</v>
      </c>
      <c r="I121" s="36" t="s">
        <v>92</v>
      </c>
      <c r="J121" s="36" t="s">
        <v>775</v>
      </c>
      <c r="K121" s="36" t="s">
        <v>93</v>
      </c>
      <c r="L121" s="36" t="s">
        <v>775</v>
      </c>
      <c r="M121" s="184" t="s">
        <v>838</v>
      </c>
      <c r="N121" s="185"/>
      <c r="O121" s="46"/>
      <c r="P121" s="1587"/>
      <c r="R121" s="6"/>
      <c r="S121" s="6"/>
      <c r="T121" s="6"/>
      <c r="U121" s="6"/>
      <c r="V121" s="6"/>
      <c r="W121" s="6"/>
      <c r="X121" s="6"/>
      <c r="Y121" s="6"/>
      <c r="Z121" s="6"/>
      <c r="AA121" s="6"/>
      <c r="AB121" s="6"/>
      <c r="AC121" s="6"/>
      <c r="AD121" s="6"/>
      <c r="AE121" s="6"/>
      <c r="AF121" s="6"/>
      <c r="AG121" s="34"/>
      <c r="AH121" s="34"/>
      <c r="AI121" s="34"/>
      <c r="AJ121" s="109"/>
      <c r="AK121" s="6"/>
      <c r="AL121" s="6"/>
      <c r="AM121" s="6"/>
    </row>
    <row r="122" spans="2:39" ht="18" customHeight="1" x14ac:dyDescent="0.3">
      <c r="B122" s="40"/>
      <c r="C122" s="40"/>
      <c r="D122" s="40"/>
      <c r="E122" s="40"/>
      <c r="F122" s="40"/>
      <c r="G122" s="40"/>
      <c r="H122" s="40"/>
      <c r="I122" s="40"/>
      <c r="J122" s="40"/>
      <c r="K122" s="40"/>
      <c r="L122" s="40"/>
      <c r="M122" s="182"/>
      <c r="N122" s="188"/>
      <c r="O122" s="47"/>
      <c r="P122" s="1587"/>
      <c r="R122" s="6"/>
      <c r="S122" s="6"/>
      <c r="T122" s="6"/>
      <c r="U122" s="6"/>
      <c r="V122" s="6"/>
      <c r="W122" s="6"/>
      <c r="X122" s="6"/>
      <c r="Y122" s="6"/>
      <c r="Z122" s="6"/>
      <c r="AA122" s="6"/>
      <c r="AB122" s="6"/>
      <c r="AC122" s="6"/>
      <c r="AD122" s="6"/>
      <c r="AE122" s="6"/>
      <c r="AF122" s="6"/>
      <c r="AG122" s="34"/>
      <c r="AH122" s="34"/>
      <c r="AI122" s="34"/>
      <c r="AJ122" s="109"/>
      <c r="AK122" s="6"/>
      <c r="AL122" s="6"/>
      <c r="AM122" s="6"/>
    </row>
    <row r="123" spans="2:39" ht="18" customHeight="1" x14ac:dyDescent="0.3">
      <c r="B123" s="21">
        <f t="shared" ref="B123:M123" si="23">IF(OR(B122="",B122="NA"),0,B122*0.01)</f>
        <v>0</v>
      </c>
      <c r="C123" s="21">
        <f t="shared" si="23"/>
        <v>0</v>
      </c>
      <c r="D123" s="21">
        <f t="shared" si="23"/>
        <v>0</v>
      </c>
      <c r="E123" s="21">
        <f t="shared" si="23"/>
        <v>0</v>
      </c>
      <c r="F123" s="21">
        <f t="shared" si="23"/>
        <v>0</v>
      </c>
      <c r="G123" s="21">
        <f t="shared" si="23"/>
        <v>0</v>
      </c>
      <c r="H123" s="21">
        <f t="shared" si="23"/>
        <v>0</v>
      </c>
      <c r="I123" s="21">
        <f t="shared" si="23"/>
        <v>0</v>
      </c>
      <c r="J123" s="21">
        <f t="shared" si="23"/>
        <v>0</v>
      </c>
      <c r="K123" s="21">
        <f t="shared" si="23"/>
        <v>0</v>
      </c>
      <c r="L123" s="21">
        <f t="shared" si="23"/>
        <v>0</v>
      </c>
      <c r="M123" s="64">
        <f t="shared" si="23"/>
        <v>0</v>
      </c>
      <c r="N123" s="186"/>
      <c r="O123" s="48"/>
      <c r="P123" s="1587"/>
      <c r="R123" s="6"/>
      <c r="S123" s="6"/>
      <c r="T123" s="6"/>
      <c r="U123" s="6"/>
      <c r="V123" s="5"/>
      <c r="W123" s="106"/>
      <c r="X123" s="107"/>
      <c r="Y123" s="102"/>
      <c r="Z123" s="102"/>
      <c r="AA123" s="102"/>
      <c r="AB123" s="102"/>
      <c r="AC123" s="6"/>
      <c r="AD123" s="6"/>
      <c r="AE123" s="6"/>
      <c r="AF123" s="6"/>
      <c r="AG123" s="6"/>
      <c r="AH123" s="6"/>
      <c r="AI123" s="6"/>
      <c r="AJ123" s="6"/>
      <c r="AK123" s="6"/>
      <c r="AL123" s="6"/>
      <c r="AM123" s="6"/>
    </row>
    <row r="124" spans="2:39" ht="18" customHeight="1" x14ac:dyDescent="0.3">
      <c r="B124" s="925"/>
      <c r="C124" s="925"/>
      <c r="D124" s="925"/>
      <c r="E124" s="925"/>
      <c r="F124" s="925"/>
      <c r="G124" s="925"/>
      <c r="H124" s="925"/>
      <c r="I124" s="925"/>
      <c r="J124" s="925"/>
      <c r="K124" s="925"/>
      <c r="L124" s="925" t="s">
        <v>778</v>
      </c>
      <c r="M124" s="925"/>
      <c r="N124" s="996">
        <f>SUM(B123:M123)</f>
        <v>0</v>
      </c>
      <c r="O124" s="996"/>
      <c r="P124" s="509"/>
      <c r="R124" s="6"/>
      <c r="S124" s="6"/>
      <c r="T124" s="6"/>
      <c r="U124" s="6"/>
      <c r="V124" s="5"/>
      <c r="W124" s="106"/>
      <c r="X124" s="107"/>
      <c r="Y124" s="102"/>
      <c r="Z124" s="102"/>
      <c r="AA124" s="102"/>
      <c r="AB124" s="102"/>
      <c r="AC124" s="6"/>
      <c r="AD124" s="6"/>
      <c r="AE124" s="6"/>
      <c r="AF124" s="6"/>
      <c r="AG124" s="6"/>
      <c r="AH124" s="6"/>
      <c r="AI124" s="6"/>
      <c r="AJ124" s="6"/>
      <c r="AK124" s="6"/>
      <c r="AL124" s="6"/>
      <c r="AM124" s="6"/>
    </row>
    <row r="125" spans="2:39" ht="18" customHeight="1" x14ac:dyDescent="0.3">
      <c r="B125" s="1142" t="s">
        <v>768</v>
      </c>
      <c r="C125" s="1142"/>
      <c r="D125" s="1142"/>
      <c r="E125" s="1142"/>
      <c r="F125" s="1142"/>
      <c r="G125" s="1142"/>
      <c r="H125" s="1142"/>
      <c r="I125" s="1142"/>
      <c r="J125" s="1142"/>
      <c r="K125" s="1142"/>
      <c r="L125" s="1142"/>
      <c r="M125" s="1142"/>
      <c r="N125" s="1142"/>
      <c r="O125" s="1142"/>
      <c r="P125" s="248">
        <f>N119+N124</f>
        <v>0</v>
      </c>
      <c r="R125" s="6"/>
      <c r="S125" s="6"/>
      <c r="T125" s="6"/>
      <c r="U125" s="6"/>
      <c r="V125" s="5"/>
      <c r="W125" s="106"/>
      <c r="X125" s="107"/>
      <c r="Y125" s="102"/>
      <c r="Z125" s="102"/>
      <c r="AA125" s="102"/>
      <c r="AB125" s="102"/>
      <c r="AC125" s="6"/>
      <c r="AD125" s="6"/>
      <c r="AE125" s="6"/>
      <c r="AF125" s="6"/>
      <c r="AG125" s="6"/>
      <c r="AH125" s="6"/>
      <c r="AI125" s="6"/>
      <c r="AJ125" s="6"/>
      <c r="AK125" s="6"/>
      <c r="AL125" s="6"/>
      <c r="AM125" s="6"/>
    </row>
    <row r="126" spans="2:39" ht="12" customHeight="1" x14ac:dyDescent="0.3">
      <c r="B126" s="712"/>
      <c r="C126" s="712"/>
      <c r="D126" s="712"/>
      <c r="E126" s="712"/>
      <c r="F126" s="712"/>
      <c r="G126" s="712"/>
      <c r="H126" s="712"/>
      <c r="I126" s="712"/>
      <c r="J126" s="712"/>
      <c r="K126" s="712"/>
      <c r="L126" s="712"/>
      <c r="M126" s="712"/>
      <c r="N126" s="712"/>
      <c r="O126" s="712"/>
      <c r="P126" s="712"/>
      <c r="R126" s="6"/>
      <c r="S126" s="6"/>
      <c r="T126" s="6"/>
      <c r="U126" s="6"/>
      <c r="V126" s="5"/>
      <c r="W126" s="106"/>
      <c r="X126" s="107"/>
      <c r="Y126" s="102"/>
      <c r="Z126" s="102"/>
      <c r="AA126" s="102"/>
      <c r="AB126" s="102"/>
      <c r="AC126" s="6"/>
      <c r="AD126" s="6"/>
      <c r="AE126" s="6"/>
      <c r="AF126" s="6"/>
      <c r="AG126" s="6"/>
      <c r="AH126" s="6"/>
      <c r="AI126" s="6"/>
      <c r="AJ126" s="6"/>
      <c r="AK126" s="6"/>
      <c r="AL126" s="6"/>
      <c r="AM126" s="6"/>
    </row>
    <row r="127" spans="2:39" ht="12" hidden="1" customHeight="1" x14ac:dyDescent="0.3">
      <c r="B127" s="990"/>
      <c r="C127" s="990"/>
      <c r="D127" s="990"/>
      <c r="E127" s="990"/>
      <c r="F127" s="990"/>
      <c r="G127" s="990"/>
      <c r="H127" s="990"/>
      <c r="I127" s="990"/>
      <c r="J127" s="990"/>
      <c r="K127" s="990"/>
      <c r="L127" s="990"/>
      <c r="M127" s="990"/>
      <c r="N127" s="990"/>
      <c r="O127" s="990"/>
      <c r="P127" s="990"/>
      <c r="R127" s="6"/>
      <c r="S127" s="6"/>
      <c r="T127" s="6"/>
      <c r="U127" s="6"/>
      <c r="V127" s="5"/>
      <c r="W127" s="106"/>
      <c r="X127" s="107"/>
      <c r="Y127" s="102"/>
      <c r="Z127" s="102"/>
      <c r="AA127" s="102"/>
      <c r="AB127" s="102"/>
      <c r="AC127" s="6"/>
      <c r="AD127" s="6"/>
      <c r="AE127" s="6"/>
      <c r="AF127" s="6"/>
      <c r="AG127" s="6"/>
      <c r="AH127" s="6"/>
      <c r="AI127" s="6"/>
      <c r="AJ127" s="6"/>
      <c r="AK127" s="6"/>
      <c r="AL127" s="6"/>
      <c r="AM127" s="6"/>
    </row>
    <row r="128" spans="2:39" ht="18" customHeight="1" x14ac:dyDescent="0.3">
      <c r="B128" s="947" t="s">
        <v>596</v>
      </c>
      <c r="C128" s="878"/>
      <c r="D128" s="878"/>
      <c r="E128" s="878"/>
      <c r="F128" s="878"/>
      <c r="G128" s="878"/>
      <c r="H128" s="878"/>
      <c r="I128" s="878"/>
      <c r="J128" s="878"/>
      <c r="K128" s="878"/>
      <c r="L128" s="878"/>
      <c r="M128" s="878"/>
      <c r="N128" s="878"/>
      <c r="O128" s="878"/>
      <c r="P128" s="992">
        <f>IF(R130=1,0.05,0)</f>
        <v>0</v>
      </c>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45" customHeight="1" x14ac:dyDescent="0.3">
      <c r="B129" s="776" t="s">
        <v>1875</v>
      </c>
      <c r="C129" s="776"/>
      <c r="D129" s="776"/>
      <c r="E129" s="776"/>
      <c r="F129" s="776"/>
      <c r="G129" s="776"/>
      <c r="H129" s="776"/>
      <c r="I129" s="776"/>
      <c r="J129" s="776"/>
      <c r="K129" s="776"/>
      <c r="L129" s="776"/>
      <c r="M129" s="776"/>
      <c r="N129" s="776"/>
      <c r="O129" s="776"/>
      <c r="P129" s="1081"/>
      <c r="R129" s="323" t="s">
        <v>2300</v>
      </c>
      <c r="S129" s="6"/>
      <c r="T129" s="6"/>
      <c r="U129" s="6"/>
      <c r="V129" s="6"/>
      <c r="W129" s="6"/>
      <c r="X129" s="6"/>
      <c r="Y129" s="6"/>
      <c r="Z129" s="6"/>
      <c r="AA129" s="6"/>
      <c r="AB129" s="6"/>
      <c r="AC129" s="6"/>
      <c r="AD129" s="6"/>
      <c r="AE129" s="6"/>
      <c r="AF129" s="6"/>
      <c r="AG129" s="6"/>
      <c r="AH129" s="6"/>
      <c r="AI129" s="6"/>
      <c r="AJ129" s="6"/>
      <c r="AK129" s="6"/>
      <c r="AL129" s="6"/>
      <c r="AM129" s="6"/>
    </row>
    <row r="130" spans="1:39" ht="21.75" customHeight="1" x14ac:dyDescent="0.3">
      <c r="A130" s="15"/>
      <c r="B130" s="806" t="s">
        <v>948</v>
      </c>
      <c r="C130" s="806"/>
      <c r="D130" s="806"/>
      <c r="E130" s="806"/>
      <c r="F130" s="806"/>
      <c r="G130" s="806"/>
      <c r="H130" s="806"/>
      <c r="I130" s="806"/>
      <c r="J130" s="806"/>
      <c r="K130" s="1023"/>
      <c r="L130" s="1023"/>
      <c r="M130" s="1023"/>
      <c r="N130" s="1023"/>
      <c r="O130" s="1023"/>
      <c r="P130" s="1082"/>
      <c r="R130" s="622">
        <v>2</v>
      </c>
      <c r="S130" s="6"/>
      <c r="T130" s="6"/>
      <c r="U130" s="6"/>
      <c r="V130" s="6"/>
      <c r="W130" s="6"/>
      <c r="X130" s="6"/>
      <c r="Y130" s="6"/>
      <c r="Z130" s="6"/>
      <c r="AA130" s="6"/>
      <c r="AB130" s="6"/>
      <c r="AC130" s="6"/>
      <c r="AD130" s="6"/>
      <c r="AE130" s="6"/>
      <c r="AF130" s="6"/>
      <c r="AG130" s="6"/>
      <c r="AH130" s="6"/>
      <c r="AI130" s="6"/>
      <c r="AJ130" s="6"/>
      <c r="AK130" s="6"/>
      <c r="AL130" s="6"/>
      <c r="AM130" s="6"/>
    </row>
    <row r="131" spans="1:39" ht="15" customHeight="1" x14ac:dyDescent="0.3">
      <c r="B131" s="1161"/>
      <c r="C131" s="1161"/>
      <c r="D131" s="1161"/>
      <c r="E131" s="1161"/>
      <c r="F131" s="1161"/>
      <c r="G131" s="1161"/>
      <c r="H131" s="1161"/>
      <c r="I131" s="1161"/>
      <c r="J131" s="1161"/>
      <c r="K131" s="1161"/>
      <c r="L131" s="1161"/>
      <c r="M131" s="1161"/>
      <c r="N131" s="1161"/>
      <c r="O131" s="1161"/>
      <c r="P131" s="1161"/>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27" customHeight="1" x14ac:dyDescent="0.3">
      <c r="B132" s="756" t="s">
        <v>844</v>
      </c>
      <c r="C132" s="756"/>
      <c r="D132" s="756"/>
      <c r="E132" s="756"/>
      <c r="F132" s="756"/>
      <c r="G132" s="756"/>
      <c r="H132" s="756"/>
      <c r="I132" s="927" t="s">
        <v>1524</v>
      </c>
      <c r="J132" s="925"/>
      <c r="K132" s="925"/>
      <c r="L132" s="925"/>
      <c r="M132" s="878"/>
      <c r="N132" s="878"/>
      <c r="O132" s="878"/>
      <c r="P132" s="1584">
        <f>AD135</f>
        <v>0</v>
      </c>
      <c r="R132" s="13" t="s">
        <v>1864</v>
      </c>
      <c r="S132" s="370">
        <f>IF(K133&gt;0,K133,G133)</f>
        <v>0</v>
      </c>
      <c r="T132" s="52">
        <f>D136</f>
        <v>0</v>
      </c>
      <c r="U132" s="52">
        <f>E136</f>
        <v>0</v>
      </c>
      <c r="V132" s="52">
        <f>F136</f>
        <v>0</v>
      </c>
      <c r="W132" s="52">
        <f>G136</f>
        <v>0</v>
      </c>
      <c r="X132" s="52">
        <f>H136</f>
        <v>0</v>
      </c>
      <c r="Y132" s="52">
        <f>D139</f>
        <v>0</v>
      </c>
      <c r="Z132" s="52">
        <f>E139</f>
        <v>0</v>
      </c>
      <c r="AA132" s="52">
        <f>F139</f>
        <v>0</v>
      </c>
      <c r="AB132" s="52">
        <f>G139</f>
        <v>0</v>
      </c>
      <c r="AC132" s="52">
        <f>H139</f>
        <v>0</v>
      </c>
      <c r="AD132" s="52">
        <f>G140</f>
        <v>0</v>
      </c>
      <c r="AE132" s="370">
        <f>IF(K141&gt;0,K141,G141)</f>
        <v>0</v>
      </c>
      <c r="AF132" s="6"/>
      <c r="AG132" s="6"/>
      <c r="AH132" s="6"/>
      <c r="AI132" s="6"/>
      <c r="AJ132" s="6"/>
      <c r="AK132" s="6"/>
      <c r="AL132" s="6"/>
      <c r="AM132" s="6"/>
    </row>
    <row r="133" spans="1:39" ht="18.75" customHeight="1" x14ac:dyDescent="0.3">
      <c r="B133" s="806" t="s">
        <v>1958</v>
      </c>
      <c r="C133" s="806"/>
      <c r="D133" s="806"/>
      <c r="E133" s="806"/>
      <c r="F133" s="806"/>
      <c r="G133" s="770">
        <f>P103</f>
        <v>0</v>
      </c>
      <c r="H133" s="770"/>
      <c r="I133" s="1582"/>
      <c r="J133" s="1583"/>
      <c r="K133" s="1188">
        <f>IF(I133="",0,IF(AND(G133*I133&gt;0,G133*I133&lt;0.01),0.01,ROUND(G133*I133,2)))</f>
        <v>0</v>
      </c>
      <c r="L133" s="1188"/>
      <c r="M133" s="878"/>
      <c r="N133" s="878"/>
      <c r="O133" s="878"/>
      <c r="P133" s="1584"/>
      <c r="R133" s="52" t="s">
        <v>1304</v>
      </c>
      <c r="S133" s="84">
        <f>LARGE($S$132:$AE$132,1)</f>
        <v>0</v>
      </c>
      <c r="T133" s="84">
        <f>LARGE($S$132:$AE$132,2)</f>
        <v>0</v>
      </c>
      <c r="U133" s="84">
        <f>LARGE($S$132:$AE$132,3)</f>
        <v>0</v>
      </c>
      <c r="V133" s="84">
        <f>LARGE($S$132:$AE$132,4)</f>
        <v>0</v>
      </c>
      <c r="W133" s="84">
        <f>LARGE($S$132:$AE$132,5)</f>
        <v>0</v>
      </c>
      <c r="X133" s="84">
        <f>LARGE($S$132:$AE$132,6)</f>
        <v>0</v>
      </c>
      <c r="Y133" s="84">
        <f>LARGE($S$132:$AE$132,7)</f>
        <v>0</v>
      </c>
      <c r="Z133" s="84">
        <f>LARGE($S$132:$AE$132,8)</f>
        <v>0</v>
      </c>
      <c r="AA133" s="84">
        <f>LARGE($S$132:$AE$132,9)</f>
        <v>0</v>
      </c>
      <c r="AB133" s="84">
        <f>LARGE($S$132:$AE$132,10)</f>
        <v>0</v>
      </c>
      <c r="AC133" s="84">
        <f>LARGE($S$132:$AE$132,11)</f>
        <v>0</v>
      </c>
      <c r="AD133" s="84">
        <f>LARGE($S$132:$AE$132,12)</f>
        <v>0</v>
      </c>
      <c r="AE133" s="84">
        <f>LARGE($S$132:$AE$132,13)</f>
        <v>0</v>
      </c>
      <c r="AF133" s="6"/>
      <c r="AG133" s="6"/>
      <c r="AH133" s="6"/>
      <c r="AI133" s="6"/>
      <c r="AJ133" s="6"/>
      <c r="AK133" s="6"/>
      <c r="AL133" s="6"/>
      <c r="AM133" s="6"/>
    </row>
    <row r="134" spans="1:39" ht="18.75" customHeight="1" x14ac:dyDescent="0.3">
      <c r="B134" s="757" t="s">
        <v>1340</v>
      </c>
      <c r="C134" s="758"/>
      <c r="D134" s="758"/>
      <c r="E134" s="758"/>
      <c r="F134" s="758"/>
      <c r="G134" s="758"/>
      <c r="H134" s="759"/>
      <c r="I134" s="927" t="s">
        <v>1941</v>
      </c>
      <c r="J134" s="927"/>
      <c r="K134" s="218"/>
      <c r="L134" s="268"/>
      <c r="M134" s="878"/>
      <c r="N134" s="878"/>
      <c r="O134" s="878"/>
      <c r="P134" s="1584"/>
      <c r="R134" s="52" t="s">
        <v>1305</v>
      </c>
      <c r="S134" s="12">
        <f>S133+T133*(1-S133)</f>
        <v>0</v>
      </c>
      <c r="T134" s="12">
        <f>S135+U133*(1-S135)</f>
        <v>0</v>
      </c>
      <c r="U134" s="12">
        <f t="shared" ref="U134:AD134" si="24">T135+V133*(1-T135)</f>
        <v>0</v>
      </c>
      <c r="V134" s="12">
        <f t="shared" si="24"/>
        <v>0</v>
      </c>
      <c r="W134" s="12">
        <f t="shared" si="24"/>
        <v>0</v>
      </c>
      <c r="X134" s="12">
        <f t="shared" si="24"/>
        <v>0</v>
      </c>
      <c r="Y134" s="12">
        <f t="shared" si="24"/>
        <v>0</v>
      </c>
      <c r="Z134" s="12">
        <f t="shared" si="24"/>
        <v>0</v>
      </c>
      <c r="AA134" s="12">
        <f t="shared" si="24"/>
        <v>0</v>
      </c>
      <c r="AB134" s="12">
        <f t="shared" si="24"/>
        <v>0</v>
      </c>
      <c r="AC134" s="12">
        <f t="shared" si="24"/>
        <v>0</v>
      </c>
      <c r="AD134" s="12">
        <f t="shared" si="24"/>
        <v>0</v>
      </c>
      <c r="AE134" s="6"/>
      <c r="AF134" s="6"/>
      <c r="AG134" s="6"/>
      <c r="AH134" s="6"/>
      <c r="AI134" s="6"/>
      <c r="AJ134" s="6"/>
      <c r="AK134" s="6"/>
      <c r="AL134" s="6"/>
      <c r="AM134" s="6"/>
    </row>
    <row r="135" spans="1:39" ht="18.75" customHeight="1" x14ac:dyDescent="0.3">
      <c r="B135" s="1166"/>
      <c r="C135" s="1167"/>
      <c r="D135" s="18" t="s">
        <v>89</v>
      </c>
      <c r="E135" s="18" t="s">
        <v>90</v>
      </c>
      <c r="F135" s="18" t="s">
        <v>91</v>
      </c>
      <c r="G135" s="18" t="s">
        <v>92</v>
      </c>
      <c r="H135" s="18" t="s">
        <v>93</v>
      </c>
      <c r="I135" s="927" t="s">
        <v>1941</v>
      </c>
      <c r="J135" s="927"/>
      <c r="K135" s="218"/>
      <c r="L135" s="268"/>
      <c r="M135" s="878"/>
      <c r="N135" s="878"/>
      <c r="O135" s="878"/>
      <c r="P135" s="1584"/>
      <c r="R135" s="52" t="s">
        <v>1306</v>
      </c>
      <c r="S135" s="84">
        <f t="shared" ref="S135:AD135" si="25">ROUND(S134,2)</f>
        <v>0</v>
      </c>
      <c r="T135" s="84">
        <f t="shared" si="25"/>
        <v>0</v>
      </c>
      <c r="U135" s="84">
        <f t="shared" si="25"/>
        <v>0</v>
      </c>
      <c r="V135" s="84">
        <f t="shared" si="25"/>
        <v>0</v>
      </c>
      <c r="W135" s="84">
        <f t="shared" si="25"/>
        <v>0</v>
      </c>
      <c r="X135" s="84">
        <f t="shared" si="25"/>
        <v>0</v>
      </c>
      <c r="Y135" s="84">
        <f t="shared" si="25"/>
        <v>0</v>
      </c>
      <c r="Z135" s="84">
        <f t="shared" si="25"/>
        <v>0</v>
      </c>
      <c r="AA135" s="84">
        <f t="shared" si="25"/>
        <v>0</v>
      </c>
      <c r="AB135" s="84">
        <f t="shared" si="25"/>
        <v>0</v>
      </c>
      <c r="AC135" s="84">
        <f t="shared" si="25"/>
        <v>0</v>
      </c>
      <c r="AD135" s="84">
        <f t="shared" si="25"/>
        <v>0</v>
      </c>
      <c r="AE135" s="6"/>
      <c r="AF135" s="6"/>
      <c r="AG135" s="6"/>
      <c r="AH135" s="6"/>
      <c r="AI135" s="6"/>
      <c r="AJ135" s="6"/>
      <c r="AK135" s="6"/>
      <c r="AL135" s="6"/>
      <c r="AM135" s="6"/>
    </row>
    <row r="136" spans="1:39" ht="18.75" customHeight="1" x14ac:dyDescent="0.3">
      <c r="B136" s="1098"/>
      <c r="C136" s="1168"/>
      <c r="D136" s="248">
        <f>H110</f>
        <v>0</v>
      </c>
      <c r="E136" s="248">
        <f>H111</f>
        <v>0</v>
      </c>
      <c r="F136" s="248">
        <f>H112</f>
        <v>0</v>
      </c>
      <c r="G136" s="248">
        <f>H113</f>
        <v>0</v>
      </c>
      <c r="H136" s="248">
        <f>H114</f>
        <v>0</v>
      </c>
      <c r="I136" s="927" t="s">
        <v>1941</v>
      </c>
      <c r="J136" s="927"/>
      <c r="K136" s="218"/>
      <c r="L136" s="268"/>
      <c r="M136" s="878"/>
      <c r="N136" s="878"/>
      <c r="O136" s="878"/>
      <c r="P136" s="1584"/>
      <c r="R136" s="151"/>
      <c r="S136" s="34"/>
      <c r="T136" s="77"/>
      <c r="U136" s="109"/>
      <c r="V136" s="6"/>
      <c r="W136" s="6"/>
      <c r="X136" s="6"/>
      <c r="Y136" s="6"/>
      <c r="Z136" s="6"/>
      <c r="AA136" s="6"/>
      <c r="AB136" s="6"/>
      <c r="AC136" s="6"/>
      <c r="AD136" s="6"/>
      <c r="AE136" s="6"/>
      <c r="AF136" s="6"/>
      <c r="AG136" s="6"/>
      <c r="AH136" s="6"/>
      <c r="AI136" s="6"/>
      <c r="AJ136" s="6"/>
      <c r="AK136" s="6"/>
      <c r="AL136" s="6"/>
      <c r="AM136" s="6"/>
    </row>
    <row r="137" spans="1:39" ht="18.75" customHeight="1" x14ac:dyDescent="0.3">
      <c r="B137" s="771" t="s">
        <v>1341</v>
      </c>
      <c r="C137" s="772"/>
      <c r="D137" s="772"/>
      <c r="E137" s="772"/>
      <c r="F137" s="772"/>
      <c r="G137" s="772"/>
      <c r="H137" s="773"/>
      <c r="I137" s="927" t="s">
        <v>1941</v>
      </c>
      <c r="J137" s="927"/>
      <c r="K137" s="218"/>
      <c r="L137" s="268"/>
      <c r="M137" s="878"/>
      <c r="N137" s="878"/>
      <c r="O137" s="878"/>
      <c r="P137" s="1584"/>
      <c r="R137" s="77"/>
      <c r="S137" s="77"/>
      <c r="T137" s="77"/>
      <c r="U137" s="77"/>
      <c r="V137" s="77"/>
      <c r="W137" s="6"/>
      <c r="X137" s="6"/>
      <c r="Y137" s="6"/>
      <c r="Z137" s="6"/>
      <c r="AA137" s="6"/>
      <c r="AB137" s="6"/>
      <c r="AC137" s="6"/>
      <c r="AD137" s="6"/>
      <c r="AE137" s="6"/>
      <c r="AF137" s="6"/>
      <c r="AG137" s="6"/>
      <c r="AH137" s="6"/>
      <c r="AI137" s="6"/>
      <c r="AJ137" s="6"/>
      <c r="AK137" s="6"/>
      <c r="AL137" s="6"/>
      <c r="AM137" s="6"/>
    </row>
    <row r="138" spans="1:39" ht="18.75" customHeight="1" x14ac:dyDescent="0.3">
      <c r="B138" s="1166"/>
      <c r="C138" s="1167"/>
      <c r="D138" s="18" t="s">
        <v>89</v>
      </c>
      <c r="E138" s="18" t="s">
        <v>90</v>
      </c>
      <c r="F138" s="18" t="s">
        <v>91</v>
      </c>
      <c r="G138" s="18" t="s">
        <v>92</v>
      </c>
      <c r="H138" s="18" t="s">
        <v>93</v>
      </c>
      <c r="I138" s="927" t="s">
        <v>1941</v>
      </c>
      <c r="J138" s="927"/>
      <c r="K138" s="218"/>
      <c r="L138" s="268"/>
      <c r="M138" s="878"/>
      <c r="N138" s="878"/>
      <c r="O138" s="878"/>
      <c r="P138" s="1584"/>
      <c r="R138" s="77"/>
      <c r="S138" s="77"/>
      <c r="T138" s="77"/>
      <c r="U138" s="77"/>
      <c r="V138" s="77"/>
      <c r="W138" s="6"/>
      <c r="X138" s="6"/>
      <c r="Y138" s="6"/>
      <c r="Z138" s="6"/>
      <c r="AA138" s="6"/>
      <c r="AB138" s="6"/>
      <c r="AC138" s="6"/>
      <c r="AD138" s="6"/>
      <c r="AE138" s="6"/>
      <c r="AF138" s="6"/>
      <c r="AG138" s="6"/>
      <c r="AH138" s="6"/>
      <c r="AI138" s="6"/>
      <c r="AJ138" s="6"/>
      <c r="AK138" s="6"/>
      <c r="AL138" s="6"/>
      <c r="AM138" s="6"/>
    </row>
    <row r="139" spans="1:39" ht="18.75" customHeight="1" x14ac:dyDescent="0.3">
      <c r="B139" s="1098"/>
      <c r="C139" s="1168"/>
      <c r="D139" s="248">
        <f>O110</f>
        <v>0</v>
      </c>
      <c r="E139" s="248">
        <f>O111</f>
        <v>0</v>
      </c>
      <c r="F139" s="248">
        <f>O112</f>
        <v>0</v>
      </c>
      <c r="G139" s="248">
        <f>O113</f>
        <v>0</v>
      </c>
      <c r="H139" s="248">
        <f>O114</f>
        <v>0</v>
      </c>
      <c r="I139" s="927" t="s">
        <v>1941</v>
      </c>
      <c r="J139" s="927"/>
      <c r="K139" s="218"/>
      <c r="L139" s="268"/>
      <c r="M139" s="878"/>
      <c r="N139" s="878"/>
      <c r="O139" s="878"/>
      <c r="P139" s="1584"/>
      <c r="R139" s="151"/>
      <c r="S139" s="34"/>
      <c r="T139" s="77"/>
      <c r="U139" s="109"/>
      <c r="V139" s="6"/>
      <c r="W139" s="6"/>
      <c r="X139" s="6"/>
      <c r="Y139" s="6"/>
      <c r="Z139" s="6"/>
      <c r="AA139" s="6"/>
      <c r="AB139" s="6"/>
      <c r="AC139" s="6"/>
      <c r="AD139" s="6"/>
      <c r="AE139" s="6"/>
      <c r="AF139" s="6"/>
      <c r="AG139" s="6"/>
      <c r="AH139" s="6"/>
      <c r="AI139" s="6"/>
      <c r="AJ139" s="6"/>
      <c r="AK139" s="6"/>
      <c r="AL139" s="6"/>
      <c r="AM139" s="6"/>
    </row>
    <row r="140" spans="1:39" ht="18.75" customHeight="1" x14ac:dyDescent="0.3">
      <c r="B140" s="806" t="s">
        <v>1342</v>
      </c>
      <c r="C140" s="806"/>
      <c r="D140" s="806"/>
      <c r="E140" s="806"/>
      <c r="F140" s="806"/>
      <c r="G140" s="770">
        <f>P125</f>
        <v>0</v>
      </c>
      <c r="H140" s="770"/>
      <c r="I140" s="927" t="s">
        <v>1941</v>
      </c>
      <c r="J140" s="927"/>
      <c r="K140" s="218"/>
      <c r="L140" s="268"/>
      <c r="M140" s="878"/>
      <c r="N140" s="878"/>
      <c r="O140" s="878"/>
      <c r="P140" s="1584"/>
      <c r="R140" s="151"/>
      <c r="S140" s="34"/>
      <c r="T140" s="77"/>
      <c r="U140" s="109"/>
      <c r="V140" s="102"/>
      <c r="W140" s="6"/>
      <c r="X140" s="6"/>
      <c r="Y140" s="6"/>
      <c r="Z140" s="6"/>
      <c r="AA140" s="6"/>
      <c r="AB140" s="6"/>
      <c r="AC140" s="6"/>
      <c r="AD140" s="6"/>
      <c r="AE140" s="6"/>
      <c r="AF140" s="6"/>
      <c r="AG140" s="6"/>
      <c r="AH140" s="6"/>
      <c r="AI140" s="6"/>
      <c r="AJ140" s="6"/>
      <c r="AK140" s="6"/>
      <c r="AL140" s="6"/>
      <c r="AM140" s="6"/>
    </row>
    <row r="141" spans="1:39" ht="18.75" customHeight="1" x14ac:dyDescent="0.3">
      <c r="B141" s="806" t="s">
        <v>596</v>
      </c>
      <c r="C141" s="806"/>
      <c r="D141" s="806"/>
      <c r="E141" s="806"/>
      <c r="F141" s="806"/>
      <c r="G141" s="936">
        <f>P128</f>
        <v>0</v>
      </c>
      <c r="H141" s="936"/>
      <c r="I141" s="1582"/>
      <c r="J141" s="1583"/>
      <c r="K141" s="1188">
        <f>IF(I141="",0,IF(AND(G141*I141&gt;0,G141*I141&lt;0.01),0.01,ROUND(G141*I141,2)))</f>
        <v>0</v>
      </c>
      <c r="L141" s="1188"/>
      <c r="M141" s="878"/>
      <c r="N141" s="878"/>
      <c r="O141" s="878"/>
      <c r="P141" s="1584"/>
      <c r="S141" s="34"/>
      <c r="T141" s="77"/>
      <c r="U141" s="109"/>
      <c r="V141" s="102"/>
      <c r="W141" s="102"/>
      <c r="X141" s="6"/>
      <c r="Y141" s="6"/>
      <c r="Z141" s="6"/>
      <c r="AA141" s="6"/>
      <c r="AB141" s="6"/>
      <c r="AC141" s="6"/>
      <c r="AD141" s="6"/>
      <c r="AE141" s="6"/>
      <c r="AF141" s="6"/>
      <c r="AG141" s="6"/>
      <c r="AH141" s="6"/>
      <c r="AI141" s="6"/>
      <c r="AJ141" s="6"/>
      <c r="AK141" s="6"/>
      <c r="AL141" s="6"/>
      <c r="AM141" s="6"/>
    </row>
    <row r="142" spans="1:39" ht="18.75" customHeight="1" x14ac:dyDescent="0.3">
      <c r="B142" s="878"/>
      <c r="C142" s="878"/>
      <c r="D142" s="878"/>
      <c r="E142" s="878"/>
      <c r="F142" s="878"/>
      <c r="G142" s="878"/>
      <c r="H142" s="878"/>
      <c r="I142" s="878"/>
      <c r="J142" s="878"/>
      <c r="K142" s="1585" t="s">
        <v>1593</v>
      </c>
      <c r="L142" s="1585"/>
      <c r="M142" s="1585"/>
      <c r="N142" s="1585"/>
      <c r="O142" s="1585"/>
      <c r="P142" s="1584"/>
      <c r="S142" s="77"/>
      <c r="T142" s="109"/>
      <c r="U142" s="6"/>
      <c r="V142" s="102"/>
      <c r="W142" s="102"/>
      <c r="X142" s="6"/>
      <c r="Y142" s="6"/>
      <c r="Z142" s="6"/>
      <c r="AA142" s="6"/>
      <c r="AB142" s="6"/>
      <c r="AC142" s="6"/>
      <c r="AD142" s="6"/>
      <c r="AE142" s="6"/>
      <c r="AF142" s="6"/>
      <c r="AG142" s="6"/>
      <c r="AH142" s="6"/>
      <c r="AI142" s="6"/>
      <c r="AJ142" s="6"/>
      <c r="AK142" s="6"/>
      <c r="AL142" s="6"/>
      <c r="AM142" s="6"/>
    </row>
    <row r="143" spans="1:39" ht="12" customHeight="1" x14ac:dyDescent="0.3">
      <c r="B143" s="1053"/>
      <c r="C143" s="1053"/>
      <c r="D143" s="1053"/>
      <c r="E143" s="1053"/>
      <c r="F143" s="1053"/>
      <c r="G143" s="1053"/>
      <c r="H143" s="1053"/>
      <c r="I143" s="1053"/>
      <c r="J143" s="1053"/>
      <c r="K143" s="1053"/>
      <c r="L143" s="1053"/>
      <c r="M143" s="1053"/>
      <c r="N143" s="1053"/>
      <c r="O143" s="1053"/>
      <c r="P143" s="7"/>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8" customHeight="1" x14ac:dyDescent="0.3">
      <c r="B144" s="878" t="s">
        <v>845</v>
      </c>
      <c r="C144" s="878"/>
      <c r="D144" s="878"/>
      <c r="E144" s="878"/>
      <c r="F144" s="878"/>
      <c r="G144" s="878"/>
      <c r="H144" s="878"/>
      <c r="I144" s="878"/>
      <c r="J144" s="878"/>
      <c r="K144" s="878"/>
      <c r="L144" s="878"/>
      <c r="M144" s="878"/>
      <c r="N144" s="878"/>
      <c r="O144" s="878"/>
      <c r="P144" s="1549">
        <f>T146</f>
        <v>0</v>
      </c>
      <c r="R144" s="13" t="s">
        <v>1304</v>
      </c>
      <c r="S144" s="13" t="s">
        <v>1305</v>
      </c>
      <c r="T144" s="13" t="s">
        <v>1306</v>
      </c>
      <c r="U144" s="6"/>
      <c r="V144" s="6"/>
      <c r="W144" s="6"/>
      <c r="X144" s="6"/>
      <c r="Y144" s="6"/>
      <c r="Z144" s="6"/>
      <c r="AA144" s="6"/>
      <c r="AB144" s="6"/>
      <c r="AC144" s="6"/>
      <c r="AD144" s="6"/>
      <c r="AE144" s="6"/>
      <c r="AF144" s="6"/>
      <c r="AG144" s="6"/>
      <c r="AH144" s="6"/>
      <c r="AI144" s="6"/>
      <c r="AJ144" s="6"/>
      <c r="AK144" s="6"/>
      <c r="AL144" s="6"/>
      <c r="AM144" s="6"/>
    </row>
    <row r="145" spans="2:463" ht="18" customHeight="1" x14ac:dyDescent="0.3">
      <c r="B145" s="806" t="s">
        <v>846</v>
      </c>
      <c r="C145" s="806"/>
      <c r="D145" s="806"/>
      <c r="E145" s="806"/>
      <c r="F145" s="806"/>
      <c r="G145" s="770">
        <f>P38</f>
        <v>0</v>
      </c>
      <c r="H145" s="770"/>
      <c r="I145" s="1528"/>
      <c r="J145" s="1529"/>
      <c r="K145" s="1529"/>
      <c r="L145" s="1529"/>
      <c r="M145" s="1529"/>
      <c r="N145" s="1529"/>
      <c r="O145" s="1530"/>
      <c r="P145" s="1550"/>
      <c r="R145" s="84">
        <f>LARGE($G$145:$G$147,1)</f>
        <v>0</v>
      </c>
      <c r="S145" s="12">
        <f>R145+R146*(1-R145)</f>
        <v>0</v>
      </c>
      <c r="T145" s="52">
        <f>ROUND(S145,2)</f>
        <v>0</v>
      </c>
      <c r="U145" s="6"/>
      <c r="V145" s="6"/>
      <c r="W145" s="6"/>
      <c r="X145" s="6"/>
      <c r="Y145" s="6"/>
      <c r="Z145" s="6"/>
      <c r="AA145" s="6"/>
      <c r="AB145" s="6"/>
      <c r="AC145" s="6"/>
      <c r="AD145" s="6"/>
      <c r="AE145" s="6"/>
      <c r="AF145" s="6"/>
      <c r="AG145" s="6"/>
      <c r="AH145" s="6"/>
      <c r="AI145" s="6"/>
      <c r="AJ145" s="6"/>
      <c r="AK145" s="6"/>
      <c r="AL145" s="6"/>
      <c r="AM145" s="6"/>
    </row>
    <row r="146" spans="2:463" ht="18" customHeight="1" x14ac:dyDescent="0.3">
      <c r="B146" s="806" t="s">
        <v>847</v>
      </c>
      <c r="C146" s="806"/>
      <c r="D146" s="806"/>
      <c r="E146" s="806"/>
      <c r="F146" s="806"/>
      <c r="G146" s="770">
        <f>P87</f>
        <v>0</v>
      </c>
      <c r="H146" s="770"/>
      <c r="I146" s="1531"/>
      <c r="J146" s="1532"/>
      <c r="K146" s="1532"/>
      <c r="L146" s="1532"/>
      <c r="M146" s="1532"/>
      <c r="N146" s="1532"/>
      <c r="O146" s="1533"/>
      <c r="P146" s="1550"/>
      <c r="R146" s="84">
        <f>LARGE($G$145:$G$147,2)</f>
        <v>0</v>
      </c>
      <c r="S146" s="12">
        <f>T145+R147*(1-T145)</f>
        <v>0</v>
      </c>
      <c r="T146" s="52">
        <f>ROUND(S146,2)</f>
        <v>0</v>
      </c>
      <c r="U146" s="110"/>
      <c r="V146" s="6"/>
      <c r="W146" s="6"/>
      <c r="X146" s="6"/>
      <c r="Y146" s="6"/>
      <c r="Z146" s="6"/>
      <c r="AA146" s="6"/>
      <c r="AB146" s="6"/>
      <c r="AC146" s="6"/>
      <c r="AD146" s="6"/>
      <c r="AE146" s="6"/>
      <c r="AF146" s="6"/>
      <c r="AG146" s="6"/>
      <c r="AH146" s="6"/>
      <c r="AI146" s="6"/>
      <c r="AJ146" s="6"/>
      <c r="AK146" s="6"/>
      <c r="AL146" s="6"/>
      <c r="AM146" s="6"/>
    </row>
    <row r="147" spans="2:463" ht="18" customHeight="1" x14ac:dyDescent="0.3">
      <c r="B147" s="950" t="s">
        <v>848</v>
      </c>
      <c r="C147" s="950"/>
      <c r="D147" s="950"/>
      <c r="E147" s="950"/>
      <c r="F147" s="950"/>
      <c r="G147" s="1015">
        <f>P132</f>
        <v>0</v>
      </c>
      <c r="H147" s="1015"/>
      <c r="I147" s="1531"/>
      <c r="J147" s="1532"/>
      <c r="K147" s="1532"/>
      <c r="L147" s="1532"/>
      <c r="M147" s="1532"/>
      <c r="N147" s="1532"/>
      <c r="O147" s="1533"/>
      <c r="P147" s="1550"/>
      <c r="R147" s="84">
        <f>LARGE($G$145:$G$147,3)</f>
        <v>0</v>
      </c>
      <c r="S147" s="77"/>
      <c r="T147" s="109"/>
      <c r="U147" s="6"/>
      <c r="V147" s="6"/>
      <c r="W147" s="6"/>
      <c r="X147" s="6"/>
      <c r="Y147" s="6"/>
      <c r="Z147" s="6"/>
      <c r="AA147" s="6"/>
      <c r="AB147" s="6"/>
      <c r="AC147" s="6"/>
      <c r="AD147" s="6"/>
      <c r="AE147" s="6"/>
      <c r="AF147" s="6"/>
      <c r="AG147" s="6"/>
      <c r="AH147" s="6"/>
      <c r="AI147" s="6"/>
      <c r="AJ147" s="6"/>
      <c r="AK147" s="6"/>
      <c r="AL147" s="6"/>
      <c r="AM147" s="6"/>
    </row>
    <row r="148" spans="2:463" ht="18" customHeight="1" x14ac:dyDescent="0.3">
      <c r="B148" s="1058"/>
      <c r="C148" s="1040"/>
      <c r="D148" s="1040"/>
      <c r="E148" s="1040"/>
      <c r="F148" s="1040"/>
      <c r="G148" s="623"/>
      <c r="H148" s="623"/>
      <c r="I148" s="623"/>
      <c r="J148" s="623"/>
      <c r="K148" s="623"/>
      <c r="L148" s="1589" t="s">
        <v>2246</v>
      </c>
      <c r="M148" s="1589"/>
      <c r="N148" s="1589"/>
      <c r="O148" s="1590"/>
      <c r="P148" s="1551"/>
      <c r="R148" s="34"/>
      <c r="S148" s="77"/>
      <c r="T148" s="109"/>
      <c r="U148" s="6"/>
      <c r="V148" s="102"/>
      <c r="W148" s="102"/>
      <c r="X148" s="6"/>
      <c r="Y148" s="6"/>
      <c r="Z148" s="6"/>
      <c r="AA148" s="6"/>
      <c r="AB148" s="6"/>
      <c r="AC148" s="6"/>
      <c r="AD148" s="6"/>
      <c r="AE148" s="6"/>
      <c r="AF148" s="6"/>
      <c r="AG148" s="6"/>
      <c r="AH148" s="6"/>
      <c r="AI148" s="6"/>
      <c r="AJ148" s="6"/>
      <c r="AK148" s="6"/>
      <c r="AL148" s="6"/>
      <c r="AM148" s="6"/>
    </row>
    <row r="149" spans="2:463" ht="33" customHeight="1" x14ac:dyDescent="0.35">
      <c r="B149" s="779" t="s">
        <v>947</v>
      </c>
      <c r="C149" s="779"/>
      <c r="D149" s="779"/>
      <c r="E149" s="779"/>
      <c r="F149" s="779"/>
      <c r="G149" s="779"/>
      <c r="H149" s="779"/>
      <c r="I149" s="779"/>
      <c r="J149" s="779"/>
      <c r="K149" s="779"/>
      <c r="L149" s="779"/>
      <c r="M149" s="779"/>
      <c r="N149" s="779"/>
      <c r="O149" s="779"/>
      <c r="P149" s="1049"/>
      <c r="R149" s="58"/>
      <c r="S149" s="58"/>
      <c r="T149" s="6"/>
      <c r="U149" s="6"/>
      <c r="V149" s="6"/>
      <c r="W149" s="6"/>
      <c r="X149" s="6"/>
      <c r="Y149" s="6"/>
      <c r="Z149" s="6"/>
      <c r="AA149" s="6"/>
      <c r="AB149" s="6"/>
      <c r="AC149" s="6"/>
      <c r="AD149" s="6"/>
      <c r="AE149" s="6"/>
      <c r="AF149" s="6"/>
      <c r="AG149" s="6"/>
      <c r="AH149" s="6"/>
      <c r="AI149" s="6"/>
      <c r="AJ149" s="6"/>
      <c r="AK149" s="6"/>
      <c r="AL149" s="6"/>
      <c r="AM149" s="6"/>
    </row>
    <row r="150" spans="2:463" ht="15.75" customHeight="1" x14ac:dyDescent="0.3">
      <c r="B150" s="1588" t="s">
        <v>790</v>
      </c>
      <c r="C150" s="1588"/>
      <c r="D150" s="1588"/>
      <c r="E150" s="1588"/>
      <c r="F150" s="1336" t="str">
        <f>IF(U1&lt;&gt;"",U1,"")</f>
        <v>Go to PPD Worksheet</v>
      </c>
      <c r="G150" s="1336"/>
      <c r="H150" s="1336"/>
      <c r="I150" s="1336"/>
      <c r="J150" s="1336"/>
      <c r="K150" s="1336" t="str">
        <f>IF(T1&lt;&gt;"",T1,"")</f>
        <v/>
      </c>
      <c r="L150" s="1336"/>
      <c r="M150" s="1336"/>
      <c r="N150" s="1336"/>
      <c r="O150" s="1336"/>
      <c r="P150" s="42"/>
      <c r="R150" s="110"/>
      <c r="S150" s="77"/>
      <c r="T150" s="109"/>
      <c r="U150" s="6"/>
      <c r="V150" s="6"/>
      <c r="W150" s="6"/>
      <c r="X150" s="6"/>
      <c r="Y150" s="6"/>
      <c r="Z150" s="6"/>
      <c r="AA150" s="6"/>
      <c r="AB150" s="6"/>
      <c r="AC150" s="6"/>
      <c r="AD150" s="6"/>
      <c r="AE150" s="6"/>
      <c r="AF150" s="6"/>
      <c r="AG150" s="6"/>
      <c r="AH150" s="6"/>
      <c r="AI150" s="6"/>
      <c r="AJ150" s="6"/>
      <c r="AK150" s="6"/>
      <c r="AL150" s="6"/>
      <c r="AM150" s="6"/>
    </row>
    <row r="151" spans="2:463" ht="15.75" customHeight="1" x14ac:dyDescent="0.3">
      <c r="E151" s="8"/>
      <c r="F151" s="1"/>
      <c r="G151" s="1"/>
      <c r="H151" s="14"/>
      <c r="I151" s="14"/>
      <c r="J151" s="14"/>
      <c r="K151" s="14"/>
      <c r="L151" s="14"/>
      <c r="M151" s="14"/>
      <c r="N151" s="14"/>
      <c r="O151" s="14"/>
      <c r="P151" s="8"/>
      <c r="R151" s="33"/>
      <c r="S151" s="77"/>
      <c r="T151" s="109"/>
      <c r="U151" s="6"/>
      <c r="V151" s="6"/>
      <c r="W151" s="6"/>
      <c r="X151" s="6"/>
      <c r="Y151" s="6"/>
      <c r="Z151" s="6"/>
      <c r="AA151" s="6"/>
      <c r="AB151" s="6"/>
      <c r="AC151" s="6"/>
      <c r="AD151" s="6"/>
      <c r="AE151" s="6"/>
      <c r="AF151" s="6"/>
      <c r="AG151" s="6"/>
      <c r="AH151" s="6"/>
      <c r="AI151" s="6"/>
      <c r="AJ151" s="6"/>
      <c r="AK151" s="6"/>
      <c r="AL151" s="6"/>
      <c r="AM151" s="6"/>
    </row>
    <row r="152" spans="2:463" s="171" customFormat="1" ht="12.75" customHeight="1" x14ac:dyDescent="0.3">
      <c r="B152" s="680"/>
      <c r="C152" s="680"/>
      <c r="D152" s="680"/>
      <c r="E152" s="680"/>
    </row>
    <row r="153" spans="2:463" s="171" customFormat="1" x14ac:dyDescent="0.3">
      <c r="B153" s="680"/>
      <c r="C153" s="680"/>
      <c r="D153" s="680"/>
      <c r="E153" s="680"/>
    </row>
    <row r="154" spans="2:463" x14ac:dyDescent="0.3">
      <c r="B154" s="680"/>
      <c r="C154" s="680"/>
      <c r="D154" s="680"/>
      <c r="E154" s="680"/>
      <c r="F154" s="171"/>
      <c r="G154" s="9"/>
      <c r="H154" s="378"/>
      <c r="I154" s="171"/>
      <c r="J154" s="9"/>
      <c r="K154" s="378"/>
      <c r="L154" s="171"/>
      <c r="M154" s="9"/>
      <c r="N154" s="378"/>
      <c r="O154" s="171"/>
      <c r="P154" s="9"/>
      <c r="Q154" s="378"/>
      <c r="R154" s="171"/>
      <c r="S154" s="9"/>
      <c r="T154" s="378"/>
      <c r="U154" s="171"/>
      <c r="V154" s="5"/>
      <c r="W154" s="112"/>
      <c r="X154" s="5"/>
      <c r="Y154" s="5"/>
      <c r="Z154" s="112"/>
      <c r="AA154" s="5"/>
      <c r="AB154" s="5"/>
      <c r="AC154" s="112"/>
      <c r="AD154" s="5"/>
      <c r="AE154" s="5"/>
      <c r="AF154" s="112"/>
      <c r="AG154" s="5"/>
      <c r="AH154" s="5"/>
      <c r="AI154" s="112"/>
      <c r="AJ154" s="5"/>
      <c r="AK154" s="5"/>
      <c r="AL154" s="112"/>
      <c r="AM154" s="5"/>
      <c r="AN154" s="5"/>
      <c r="AO154" s="112"/>
      <c r="AP154" s="5"/>
      <c r="AQ154" s="5"/>
      <c r="AR154" s="378"/>
      <c r="AS154" s="171"/>
      <c r="AT154" s="9"/>
      <c r="AU154" s="378"/>
      <c r="AV154" s="171"/>
      <c r="AW154" s="9"/>
      <c r="AX154" s="378"/>
      <c r="AY154" s="171"/>
      <c r="AZ154" s="9"/>
      <c r="BA154" s="378"/>
      <c r="BB154" s="171"/>
      <c r="BC154" s="5"/>
      <c r="BD154" s="378"/>
      <c r="BE154" s="171"/>
      <c r="BF154" s="9"/>
      <c r="BG154" s="378"/>
      <c r="BH154" s="171"/>
      <c r="BI154" s="9"/>
      <c r="BJ154" s="378"/>
      <c r="BK154" s="171"/>
      <c r="BL154" s="9"/>
      <c r="BM154" s="378"/>
      <c r="BN154" s="171"/>
      <c r="BO154" s="9"/>
      <c r="BP154" s="378"/>
      <c r="BQ154" s="171"/>
      <c r="BR154" s="9"/>
      <c r="BS154" s="378"/>
      <c r="BT154" s="171"/>
      <c r="BU154" s="9"/>
      <c r="BV154" s="378"/>
      <c r="BW154" s="171"/>
      <c r="BX154" s="9"/>
      <c r="BY154" s="378"/>
      <c r="BZ154" s="171"/>
      <c r="CA154" s="9"/>
      <c r="CB154" s="378"/>
      <c r="CC154" s="171"/>
      <c r="CD154" s="9"/>
      <c r="CE154" s="378"/>
      <c r="CF154" s="171"/>
      <c r="CG154" s="9"/>
      <c r="CH154" s="378"/>
      <c r="CI154" s="171"/>
      <c r="CJ154" s="9"/>
      <c r="CK154" s="378"/>
      <c r="CL154" s="171"/>
      <c r="CM154" s="9"/>
      <c r="CN154" s="378"/>
      <c r="CO154" s="171"/>
      <c r="CP154" s="9"/>
      <c r="CQ154" s="378"/>
      <c r="CR154" s="171"/>
      <c r="CS154" s="9"/>
      <c r="CT154" s="378"/>
      <c r="CU154" s="171"/>
      <c r="CV154" s="9"/>
      <c r="CW154" s="378"/>
      <c r="CX154" s="171"/>
      <c r="CY154" s="9"/>
      <c r="CZ154" s="378"/>
      <c r="DA154" s="171"/>
      <c r="DB154" s="9"/>
      <c r="DC154" s="378"/>
      <c r="DD154" s="171"/>
      <c r="DE154" s="9"/>
      <c r="DF154" s="378"/>
      <c r="DG154" s="171"/>
      <c r="DH154" s="9"/>
      <c r="DI154" s="378"/>
      <c r="DJ154" s="171"/>
      <c r="DK154" s="9"/>
      <c r="DL154" s="378"/>
      <c r="DM154" s="171"/>
      <c r="DN154" s="9"/>
      <c r="DO154" s="378"/>
      <c r="DP154" s="171"/>
      <c r="DQ154" s="9"/>
      <c r="DR154" s="378"/>
      <c r="DS154" s="171"/>
      <c r="DT154" s="9"/>
      <c r="DU154" s="378"/>
      <c r="DV154" s="171"/>
      <c r="DW154" s="9"/>
      <c r="DX154" s="378"/>
      <c r="DY154" s="171"/>
      <c r="DZ154" s="9"/>
      <c r="EA154" s="378"/>
      <c r="EB154" s="171"/>
      <c r="EC154" s="9"/>
      <c r="ED154" s="378"/>
      <c r="EE154" s="171"/>
      <c r="EF154" s="9"/>
      <c r="EG154" s="378"/>
      <c r="EH154" s="171"/>
      <c r="EI154" s="9"/>
      <c r="EJ154" s="378"/>
      <c r="EK154" s="171"/>
      <c r="EL154" s="9"/>
      <c r="EM154" s="378"/>
      <c r="EN154" s="171"/>
      <c r="EO154" s="9"/>
      <c r="EP154" s="378"/>
      <c r="EQ154" s="171"/>
      <c r="ER154" s="9"/>
      <c r="ES154" s="378"/>
      <c r="ET154" s="171"/>
      <c r="EU154" s="9"/>
      <c r="EV154" s="378"/>
      <c r="EW154" s="171"/>
      <c r="EX154" s="9"/>
      <c r="EY154" s="378"/>
      <c r="EZ154" s="171"/>
      <c r="FA154" s="9"/>
      <c r="FB154" s="378"/>
      <c r="FC154" s="171"/>
      <c r="FD154" s="9"/>
      <c r="FE154" s="378"/>
      <c r="FF154" s="171"/>
      <c r="FG154" s="9"/>
      <c r="FH154" s="378"/>
      <c r="FI154" s="171"/>
      <c r="FJ154" s="9"/>
      <c r="FK154" s="378"/>
      <c r="FL154" s="171"/>
      <c r="FM154" s="9"/>
      <c r="FN154" s="378"/>
      <c r="FO154" s="171"/>
      <c r="FP154" s="9"/>
      <c r="FQ154" s="378"/>
      <c r="FR154" s="171"/>
      <c r="FS154" s="9"/>
      <c r="FT154" s="378"/>
      <c r="FU154" s="171"/>
      <c r="FV154" s="9"/>
      <c r="FW154" s="378"/>
      <c r="FX154" s="171"/>
      <c r="FY154" s="9"/>
      <c r="FZ154" s="378"/>
      <c r="GA154" s="171"/>
      <c r="GB154" s="9"/>
      <c r="GC154" s="378"/>
      <c r="GD154" s="171"/>
      <c r="GE154" s="9"/>
      <c r="GF154" s="378"/>
      <c r="GG154" s="171"/>
      <c r="GH154" s="9"/>
      <c r="GI154" s="378"/>
      <c r="GJ154" s="171"/>
      <c r="GK154" s="9"/>
      <c r="GL154" s="378"/>
      <c r="GM154" s="171"/>
      <c r="GN154" s="9"/>
      <c r="GO154" s="378"/>
      <c r="GP154" s="171"/>
      <c r="GQ154" s="9"/>
      <c r="GR154" s="378"/>
      <c r="GS154" s="171"/>
      <c r="GT154" s="9"/>
      <c r="GU154" s="378"/>
      <c r="GV154" s="171"/>
      <c r="GW154" s="9"/>
      <c r="GX154" s="378"/>
      <c r="GY154" s="171"/>
      <c r="GZ154" s="9"/>
      <c r="HA154" s="378"/>
      <c r="HB154" s="171"/>
      <c r="HC154" s="9"/>
      <c r="HD154" s="378"/>
      <c r="HE154" s="171"/>
      <c r="HF154" s="9"/>
      <c r="HG154" s="378"/>
      <c r="HH154" s="171"/>
      <c r="HI154" s="9"/>
      <c r="HJ154" s="378"/>
      <c r="HK154" s="171"/>
      <c r="HL154" s="9"/>
      <c r="HM154" s="378"/>
      <c r="HN154" s="171"/>
      <c r="HO154" s="9"/>
      <c r="HP154" s="378"/>
      <c r="HQ154" s="171"/>
      <c r="HR154" s="9"/>
      <c r="HS154" s="378"/>
      <c r="HT154" s="171"/>
      <c r="HU154" s="9"/>
      <c r="HV154" s="378"/>
      <c r="HW154" s="171"/>
      <c r="HX154" s="9"/>
      <c r="HY154" s="378"/>
      <c r="HZ154" s="171"/>
      <c r="IA154" s="9"/>
      <c r="IB154" s="378"/>
      <c r="IC154" s="171"/>
      <c r="ID154" s="9"/>
      <c r="IE154" s="378"/>
      <c r="IF154" s="171"/>
      <c r="IG154" s="9"/>
      <c r="IH154" s="378"/>
      <c r="II154" s="171"/>
      <c r="IJ154" s="9"/>
      <c r="IK154" s="378"/>
      <c r="IL154" s="171"/>
      <c r="IM154" s="171"/>
      <c r="IN154" s="171"/>
      <c r="IO154" s="171"/>
      <c r="IP154" s="171"/>
      <c r="IQ154" s="171"/>
      <c r="IR154" s="171"/>
      <c r="IS154" s="171"/>
      <c r="IT154" s="171"/>
      <c r="IU154" s="171"/>
      <c r="IV154" s="171"/>
      <c r="IW154" s="171"/>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c r="KO154" s="171"/>
      <c r="KP154" s="171"/>
      <c r="KQ154" s="171"/>
      <c r="KR154" s="171"/>
      <c r="KS154" s="171"/>
      <c r="KT154" s="171"/>
      <c r="KU154" s="171"/>
      <c r="KV154" s="171"/>
      <c r="KW154" s="171"/>
      <c r="KX154" s="171"/>
      <c r="KY154" s="171"/>
      <c r="KZ154" s="171"/>
      <c r="LA154" s="171"/>
      <c r="LB154" s="171"/>
      <c r="LC154" s="171"/>
      <c r="LD154" s="171"/>
      <c r="LE154" s="171"/>
      <c r="LF154" s="171"/>
      <c r="LG154" s="171"/>
      <c r="LH154" s="171"/>
      <c r="LI154" s="171"/>
      <c r="LJ154" s="171"/>
      <c r="LK154" s="171"/>
      <c r="LL154" s="171"/>
      <c r="LM154" s="171"/>
      <c r="LN154" s="171"/>
      <c r="LO154" s="171"/>
      <c r="LP154" s="171"/>
      <c r="LQ154" s="171"/>
      <c r="LR154" s="171"/>
      <c r="LS154" s="171"/>
      <c r="LT154" s="171"/>
      <c r="LU154" s="171"/>
      <c r="LV154" s="171"/>
      <c r="LW154" s="171"/>
      <c r="LX154" s="171"/>
      <c r="LY154" s="171"/>
      <c r="LZ154" s="171"/>
      <c r="MA154" s="171"/>
      <c r="MB154" s="171"/>
      <c r="MC154" s="171"/>
      <c r="MD154" s="171"/>
      <c r="ME154" s="171"/>
      <c r="MF154" s="171"/>
      <c r="MG154" s="171"/>
      <c r="MH154" s="171"/>
      <c r="MI154" s="171"/>
      <c r="MJ154" s="171"/>
      <c r="MK154" s="171"/>
      <c r="ML154" s="171"/>
      <c r="MM154" s="171"/>
      <c r="MN154" s="171"/>
      <c r="MO154" s="171"/>
      <c r="MP154" s="171"/>
      <c r="MQ154" s="171"/>
      <c r="MR154" s="171"/>
      <c r="MS154" s="171"/>
      <c r="MT154" s="171"/>
      <c r="MU154" s="171"/>
      <c r="MV154" s="171"/>
      <c r="MW154" s="171"/>
      <c r="MX154" s="171"/>
      <c r="MY154" s="171"/>
      <c r="MZ154" s="171"/>
      <c r="NA154" s="171"/>
      <c r="NB154" s="171"/>
      <c r="NC154" s="171"/>
      <c r="ND154" s="171"/>
      <c r="NE154" s="171"/>
      <c r="NF154" s="171"/>
      <c r="NG154" s="171"/>
      <c r="NH154" s="171"/>
      <c r="NI154" s="171"/>
      <c r="NJ154" s="171"/>
      <c r="NK154" s="171"/>
      <c r="NL154" s="171"/>
      <c r="NM154" s="171"/>
      <c r="NN154" s="171"/>
      <c r="NO154" s="171"/>
      <c r="NP154" s="171"/>
      <c r="NQ154" s="171"/>
      <c r="NR154" s="171"/>
      <c r="NS154" s="171"/>
      <c r="NT154" s="171"/>
      <c r="NU154" s="171"/>
      <c r="NV154" s="171"/>
      <c r="NW154" s="171"/>
      <c r="NX154" s="171"/>
      <c r="NY154" s="171"/>
      <c r="NZ154" s="171"/>
      <c r="OA154" s="171"/>
      <c r="OB154" s="171"/>
      <c r="OC154" s="171"/>
      <c r="OD154" s="171"/>
      <c r="OE154" s="171"/>
      <c r="OF154" s="171"/>
      <c r="OG154" s="171"/>
      <c r="OH154" s="171"/>
      <c r="OI154" s="171"/>
      <c r="OJ154" s="171"/>
      <c r="OK154" s="171"/>
      <c r="OL154" s="171"/>
      <c r="OM154" s="171"/>
      <c r="ON154" s="171"/>
      <c r="OO154" s="171"/>
      <c r="OP154" s="171"/>
      <c r="OQ154" s="171"/>
      <c r="OR154" s="171"/>
      <c r="OS154" s="171"/>
      <c r="OT154" s="171"/>
      <c r="OU154" s="171"/>
      <c r="OV154" s="171"/>
      <c r="OW154" s="171"/>
      <c r="OX154" s="171"/>
      <c r="OY154" s="171"/>
      <c r="OZ154" s="171"/>
      <c r="PA154" s="171"/>
      <c r="PB154" s="171"/>
      <c r="PC154" s="171"/>
      <c r="PD154" s="171"/>
      <c r="PE154" s="171"/>
      <c r="PF154" s="171"/>
      <c r="PG154" s="171"/>
      <c r="PH154" s="171"/>
      <c r="PI154" s="171"/>
      <c r="PJ154" s="171"/>
      <c r="PK154" s="171"/>
      <c r="PL154" s="171"/>
      <c r="PM154" s="171"/>
      <c r="PN154" s="171"/>
      <c r="PO154" s="171"/>
      <c r="PP154" s="171"/>
      <c r="PQ154" s="171"/>
      <c r="PR154" s="171"/>
      <c r="PS154" s="171"/>
      <c r="PT154" s="171"/>
      <c r="PU154" s="171"/>
      <c r="PV154" s="171"/>
      <c r="PW154" s="171"/>
      <c r="PX154" s="171"/>
      <c r="PY154" s="171"/>
      <c r="PZ154" s="171"/>
      <c r="QA154" s="171"/>
      <c r="QB154" s="171"/>
      <c r="QC154" s="171"/>
      <c r="QD154" s="171"/>
      <c r="QE154" s="171"/>
      <c r="QF154" s="171"/>
      <c r="QG154" s="171"/>
      <c r="QH154" s="171"/>
      <c r="QI154" s="171"/>
      <c r="QJ154" s="171"/>
      <c r="QK154" s="171"/>
      <c r="QL154" s="171"/>
      <c r="QM154" s="171"/>
      <c r="QN154" s="171"/>
      <c r="QO154" s="171"/>
      <c r="QP154" s="171"/>
      <c r="QQ154" s="171"/>
      <c r="QR154" s="171"/>
      <c r="QS154" s="171"/>
      <c r="QT154" s="171"/>
      <c r="QU154" s="171"/>
    </row>
    <row r="155" spans="2:463" hidden="1" x14ac:dyDescent="0.3">
      <c r="C155" s="2"/>
      <c r="D155" s="2"/>
      <c r="DB155" s="9"/>
      <c r="DC155" s="378"/>
      <c r="DD155" s="171"/>
      <c r="DE155" s="9"/>
      <c r="DF155" s="378"/>
      <c r="DG155" s="171"/>
      <c r="DH155" s="9"/>
      <c r="DI155" s="378"/>
      <c r="DJ155" s="171"/>
      <c r="DK155" s="9"/>
      <c r="DL155" s="378"/>
      <c r="DM155" s="171"/>
      <c r="DN155" s="9"/>
      <c r="DO155" s="378"/>
      <c r="DP155" s="171"/>
      <c r="DQ155" s="9"/>
      <c r="DR155" s="378"/>
      <c r="DS155" s="171"/>
      <c r="DT155" s="9"/>
      <c r="DU155" s="378"/>
      <c r="DV155" s="171"/>
      <c r="DW155" s="9"/>
      <c r="DX155" s="378"/>
      <c r="DY155" s="171"/>
      <c r="DZ155" s="9"/>
      <c r="EA155" s="378"/>
      <c r="EB155" s="171"/>
      <c r="EC155" s="9"/>
      <c r="ED155" s="378"/>
      <c r="EE155" s="171"/>
      <c r="EF155" s="9"/>
      <c r="EG155" s="378"/>
      <c r="EH155" s="171"/>
      <c r="EI155" s="9"/>
      <c r="EJ155" s="378"/>
      <c r="EK155" s="171"/>
      <c r="EL155" s="9"/>
      <c r="EM155" s="378"/>
      <c r="EN155" s="171"/>
      <c r="EO155" s="9"/>
      <c r="EP155" s="378"/>
      <c r="EQ155" s="171"/>
      <c r="ER155" s="9"/>
      <c r="ES155" s="378"/>
      <c r="ET155" s="171"/>
      <c r="EU155" s="9"/>
      <c r="EV155" s="378"/>
      <c r="EW155" s="171"/>
      <c r="EX155" s="9"/>
      <c r="EY155" s="378"/>
      <c r="EZ155" s="171"/>
      <c r="FA155" s="9"/>
      <c r="FB155" s="378"/>
      <c r="FC155" s="171"/>
      <c r="FD155" s="9"/>
      <c r="FE155" s="378"/>
      <c r="FF155" s="171"/>
      <c r="FG155" s="9"/>
      <c r="FH155" s="378"/>
      <c r="FI155" s="171"/>
      <c r="FJ155" s="9"/>
      <c r="FK155" s="378"/>
      <c r="FL155" s="171"/>
      <c r="FM155" s="9"/>
      <c r="FN155" s="378"/>
      <c r="FO155" s="171"/>
      <c r="FP155" s="9"/>
      <c r="FQ155" s="378"/>
      <c r="FR155" s="171"/>
      <c r="FS155" s="9"/>
      <c r="FT155" s="378"/>
      <c r="FU155" s="171"/>
      <c r="FV155" s="9"/>
      <c r="FW155" s="378"/>
      <c r="FX155" s="171"/>
      <c r="FY155" s="9"/>
      <c r="FZ155" s="378"/>
      <c r="GA155" s="171"/>
      <c r="GB155" s="9"/>
      <c r="GC155" s="378"/>
      <c r="GD155" s="171"/>
      <c r="GE155" s="9"/>
      <c r="GF155" s="378"/>
      <c r="GG155" s="171"/>
      <c r="GH155" s="9"/>
      <c r="GI155" s="378"/>
      <c r="GJ155" s="171"/>
      <c r="GK155" s="9"/>
      <c r="GL155" s="378"/>
      <c r="GM155" s="171"/>
      <c r="GN155" s="9"/>
      <c r="GO155" s="378"/>
      <c r="GP155" s="171"/>
      <c r="GQ155" s="9"/>
      <c r="GR155" s="378"/>
      <c r="GS155" s="171"/>
      <c r="GT155" s="9"/>
      <c r="GU155" s="378"/>
      <c r="GV155" s="171"/>
      <c r="GW155" s="9"/>
      <c r="GX155" s="378"/>
      <c r="GY155" s="171"/>
      <c r="GZ155" s="9"/>
      <c r="HA155" s="378"/>
      <c r="HB155" s="171"/>
      <c r="HC155" s="9"/>
      <c r="HD155" s="378"/>
      <c r="HE155" s="171"/>
      <c r="HF155" s="9"/>
      <c r="HG155" s="378"/>
      <c r="HH155" s="171"/>
      <c r="HI155" s="9"/>
      <c r="HJ155" s="378"/>
      <c r="HK155" s="171"/>
      <c r="HL155" s="9"/>
      <c r="HM155" s="378"/>
      <c r="HN155" s="171"/>
      <c r="HO155" s="9"/>
      <c r="HP155" s="378"/>
      <c r="HQ155" s="171"/>
      <c r="HR155" s="9"/>
      <c r="HS155" s="378"/>
      <c r="HT155" s="171"/>
      <c r="HU155" s="9"/>
      <c r="HV155" s="378"/>
      <c r="HW155" s="171"/>
      <c r="HX155" s="9"/>
      <c r="HY155" s="378"/>
      <c r="HZ155" s="171"/>
      <c r="IA155" s="9"/>
      <c r="IB155" s="378"/>
      <c r="IC155" s="171"/>
      <c r="ID155" s="9"/>
      <c r="IE155" s="378"/>
      <c r="IF155" s="171"/>
      <c r="IG155" s="9"/>
      <c r="IH155" s="378"/>
      <c r="II155" s="171"/>
      <c r="IJ155" s="9"/>
      <c r="IK155" s="378"/>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c r="KO155" s="171"/>
      <c r="KP155" s="171"/>
      <c r="KQ155" s="171"/>
      <c r="KR155" s="171"/>
      <c r="KS155" s="171"/>
      <c r="KT155" s="171"/>
      <c r="KU155" s="171"/>
      <c r="KV155" s="171"/>
      <c r="KW155" s="171"/>
      <c r="KX155" s="171"/>
      <c r="KY155" s="171"/>
      <c r="KZ155" s="171"/>
      <c r="LA155" s="171"/>
      <c r="LB155" s="171"/>
      <c r="LC155" s="171"/>
      <c r="LD155" s="171"/>
      <c r="LE155" s="171"/>
      <c r="LF155" s="171"/>
      <c r="LG155" s="171"/>
      <c r="LH155" s="171"/>
      <c r="LI155" s="171"/>
      <c r="LJ155" s="171"/>
      <c r="LK155" s="171"/>
      <c r="LL155" s="171"/>
      <c r="LM155" s="171"/>
      <c r="LN155" s="171"/>
      <c r="LO155" s="171"/>
      <c r="LP155" s="171"/>
      <c r="LQ155" s="171"/>
      <c r="LR155" s="171"/>
      <c r="LS155" s="171"/>
      <c r="LT155" s="171"/>
      <c r="LU155" s="171"/>
      <c r="LV155" s="171"/>
      <c r="LW155" s="171"/>
      <c r="LX155" s="171"/>
      <c r="LY155" s="171"/>
      <c r="LZ155" s="171"/>
      <c r="MA155" s="171"/>
      <c r="MB155" s="171"/>
      <c r="MC155" s="171"/>
      <c r="MD155" s="171"/>
      <c r="ME155" s="171"/>
      <c r="MF155" s="171"/>
      <c r="MG155" s="171"/>
      <c r="MH155" s="171"/>
      <c r="MI155" s="171"/>
      <c r="MJ155" s="171"/>
      <c r="MK155" s="171"/>
      <c r="ML155" s="171"/>
      <c r="MM155" s="171"/>
      <c r="MN155" s="171"/>
      <c r="MO155" s="171"/>
      <c r="MP155" s="171"/>
      <c r="MQ155" s="171"/>
      <c r="MR155" s="171"/>
      <c r="MS155" s="171"/>
      <c r="MT155" s="171"/>
      <c r="MU155" s="171"/>
      <c r="MV155" s="171"/>
      <c r="MW155" s="171"/>
      <c r="MX155" s="171"/>
      <c r="MY155" s="171"/>
      <c r="MZ155" s="171"/>
      <c r="NA155" s="171"/>
      <c r="NB155" s="171"/>
      <c r="NC155" s="171"/>
      <c r="ND155" s="171"/>
      <c r="NE155" s="171"/>
      <c r="NF155" s="171"/>
      <c r="NG155" s="171"/>
      <c r="NH155" s="171"/>
      <c r="NI155" s="171"/>
      <c r="NJ155" s="171"/>
      <c r="NK155" s="171"/>
      <c r="NL155" s="171"/>
      <c r="NM155" s="171"/>
      <c r="NN155" s="171"/>
      <c r="NO155" s="171"/>
      <c r="NP155" s="171"/>
      <c r="NQ155" s="171"/>
      <c r="NR155" s="171"/>
      <c r="NS155" s="171"/>
      <c r="NT155" s="171"/>
      <c r="NU155" s="171"/>
      <c r="NV155" s="171"/>
      <c r="NW155" s="171"/>
      <c r="NX155" s="171"/>
      <c r="NY155" s="171"/>
      <c r="NZ155" s="171"/>
      <c r="OA155" s="171"/>
      <c r="OB155" s="171"/>
      <c r="OC155" s="171"/>
      <c r="OD155" s="171"/>
      <c r="OE155" s="171"/>
      <c r="OF155" s="171"/>
      <c r="OG155" s="171"/>
      <c r="OH155" s="171"/>
      <c r="OI155" s="171"/>
      <c r="OJ155" s="171"/>
      <c r="OK155" s="171"/>
      <c r="OL155" s="171"/>
      <c r="OM155" s="171"/>
      <c r="ON155" s="171"/>
      <c r="OO155" s="171"/>
      <c r="OP155" s="171"/>
      <c r="OQ155" s="171"/>
      <c r="OR155" s="171"/>
      <c r="OS155" s="171"/>
      <c r="OT155" s="171"/>
      <c r="OU155" s="171"/>
      <c r="OV155" s="171"/>
      <c r="OW155" s="171"/>
      <c r="OX155" s="171"/>
      <c r="OY155" s="171"/>
      <c r="OZ155" s="171"/>
      <c r="PA155" s="171"/>
      <c r="PB155" s="171"/>
      <c r="PC155" s="171"/>
      <c r="PD155" s="171"/>
      <c r="PE155" s="171"/>
      <c r="PF155" s="171"/>
      <c r="PG155" s="171"/>
      <c r="PH155" s="171"/>
      <c r="PI155" s="171"/>
      <c r="PJ155" s="171"/>
      <c r="PK155" s="171"/>
      <c r="PL155" s="171"/>
      <c r="PM155" s="171"/>
      <c r="PN155" s="171"/>
      <c r="PO155" s="171"/>
      <c r="PP155" s="171"/>
      <c r="PQ155" s="171"/>
      <c r="PR155" s="171"/>
      <c r="PS155" s="171"/>
      <c r="PT155" s="171"/>
      <c r="PU155" s="171"/>
      <c r="PV155" s="171"/>
      <c r="PW155" s="171"/>
      <c r="PX155" s="171"/>
      <c r="PY155" s="171"/>
      <c r="PZ155" s="171"/>
      <c r="QA155" s="171"/>
      <c r="QB155" s="171"/>
      <c r="QC155" s="171"/>
      <c r="QD155" s="171"/>
      <c r="QE155" s="171"/>
      <c r="QF155" s="171"/>
      <c r="QG155" s="171"/>
      <c r="QH155" s="171"/>
      <c r="QI155" s="171"/>
      <c r="QJ155" s="171"/>
      <c r="QK155" s="171"/>
      <c r="QL155" s="171"/>
      <c r="QM155" s="171"/>
      <c r="QN155" s="171"/>
      <c r="QO155" s="171"/>
      <c r="QP155" s="171"/>
      <c r="QQ155" s="171"/>
      <c r="QR155" s="171"/>
      <c r="QS155" s="171"/>
      <c r="QT155" s="171"/>
      <c r="QU155" s="171"/>
    </row>
    <row r="156" spans="2:463" hidden="1" x14ac:dyDescent="0.3">
      <c r="B156" s="146" t="s">
        <v>1941</v>
      </c>
      <c r="C156" s="806" t="s">
        <v>2288</v>
      </c>
      <c r="D156" s="806"/>
      <c r="E156" s="806"/>
      <c r="F156" s="806"/>
      <c r="G156" s="806"/>
      <c r="H156" s="806"/>
      <c r="I156" s="806"/>
      <c r="J156" s="806"/>
      <c r="K156" s="806"/>
      <c r="L156" s="806"/>
      <c r="M156" s="806"/>
      <c r="N156" s="806"/>
      <c r="U156" s="6"/>
      <c r="V156" s="6"/>
      <c r="W156" s="6"/>
      <c r="X156" s="6"/>
      <c r="Y156" s="6"/>
      <c r="Z156" s="6"/>
      <c r="AA156" s="6"/>
      <c r="AB156" s="6"/>
      <c r="AC156" s="6"/>
      <c r="AD156" s="6"/>
      <c r="AE156" s="6"/>
      <c r="AF156" s="6"/>
      <c r="AG156" s="6"/>
      <c r="AH156" s="6"/>
      <c r="AI156" s="6"/>
      <c r="AJ156" s="6"/>
      <c r="AK156" s="6"/>
      <c r="AL156" s="6"/>
      <c r="AM156" s="6"/>
    </row>
    <row r="157" spans="2:463" hidden="1" x14ac:dyDescent="0.3">
      <c r="B157" s="146">
        <v>0</v>
      </c>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row>
    <row r="158" spans="2:463" hidden="1" x14ac:dyDescent="0.3">
      <c r="B158" s="146">
        <v>1</v>
      </c>
      <c r="R158" s="6"/>
      <c r="S158" s="6"/>
      <c r="T158" s="6"/>
      <c r="U158" s="6"/>
      <c r="V158" s="6"/>
      <c r="W158" s="6"/>
      <c r="X158" s="6"/>
      <c r="Y158" s="6"/>
      <c r="Z158" s="6"/>
      <c r="AA158" s="6"/>
      <c r="AB158" s="6"/>
      <c r="AC158" s="6"/>
      <c r="AD158" s="6"/>
      <c r="AE158" s="6"/>
      <c r="AF158" s="6"/>
      <c r="AG158" s="6"/>
      <c r="AH158" s="6"/>
      <c r="AI158" s="6"/>
      <c r="AJ158" s="6"/>
      <c r="AK158" s="6"/>
      <c r="AL158" s="6"/>
      <c r="AM158" s="6"/>
    </row>
    <row r="159" spans="2:463" hidden="1" x14ac:dyDescent="0.3">
      <c r="B159" s="146">
        <v>2</v>
      </c>
      <c r="C159" s="2"/>
      <c r="D159" s="2"/>
      <c r="E159" s="927" t="s">
        <v>2287</v>
      </c>
      <c r="F159" s="927"/>
      <c r="G159" s="927"/>
      <c r="H159" s="927"/>
      <c r="I159" s="927"/>
      <c r="J159" s="927"/>
      <c r="K159" s="10"/>
      <c r="L159" s="927" t="s">
        <v>2267</v>
      </c>
      <c r="M159" s="927"/>
      <c r="N159" s="927"/>
      <c r="R159" s="6"/>
      <c r="S159" s="6"/>
      <c r="T159" s="6"/>
      <c r="U159" s="6"/>
      <c r="V159" s="6"/>
      <c r="W159" s="6"/>
      <c r="X159" s="6"/>
      <c r="Y159" s="6"/>
      <c r="Z159" s="6"/>
      <c r="AA159" s="6"/>
      <c r="AB159" s="6"/>
      <c r="AC159" s="6"/>
      <c r="AD159" s="6"/>
      <c r="AE159" s="6"/>
      <c r="AF159" s="6"/>
      <c r="AG159" s="6"/>
      <c r="AH159" s="6"/>
      <c r="AI159" s="6"/>
      <c r="AJ159" s="6"/>
      <c r="AK159" s="6"/>
      <c r="AL159" s="6"/>
      <c r="AM159" s="6"/>
    </row>
    <row r="160" spans="2:463" hidden="1" x14ac:dyDescent="0.3">
      <c r="B160" s="146">
        <v>3</v>
      </c>
      <c r="C160" s="2"/>
      <c r="D160" s="2"/>
      <c r="E160" s="927"/>
      <c r="F160" s="927"/>
      <c r="G160" s="927"/>
      <c r="H160" s="927"/>
      <c r="I160" s="927"/>
      <c r="J160" s="927"/>
      <c r="K160" s="10"/>
      <c r="L160" s="927"/>
      <c r="M160" s="927"/>
      <c r="N160" s="927"/>
      <c r="R160" s="6"/>
      <c r="S160" s="6"/>
      <c r="T160" s="6"/>
      <c r="U160" s="6"/>
      <c r="V160" s="6"/>
      <c r="W160" s="6"/>
      <c r="X160" s="6"/>
      <c r="Y160" s="6"/>
      <c r="Z160" s="6"/>
      <c r="AA160" s="6"/>
      <c r="AB160" s="6"/>
      <c r="AC160" s="6"/>
      <c r="AD160" s="6"/>
      <c r="AE160" s="6"/>
      <c r="AF160" s="6"/>
      <c r="AG160" s="6"/>
      <c r="AH160" s="6"/>
      <c r="AI160" s="6"/>
      <c r="AJ160" s="6"/>
      <c r="AK160" s="6"/>
      <c r="AL160" s="6"/>
      <c r="AM160" s="6"/>
    </row>
    <row r="161" spans="2:39" hidden="1" x14ac:dyDescent="0.3">
      <c r="B161" s="146">
        <v>4</v>
      </c>
      <c r="C161" s="2"/>
      <c r="D161" s="2"/>
      <c r="E161" s="13" t="s">
        <v>1941</v>
      </c>
      <c r="F161" s="13">
        <v>1</v>
      </c>
      <c r="G161" s="13">
        <v>2</v>
      </c>
      <c r="H161" s="13">
        <v>3</v>
      </c>
      <c r="I161" s="13">
        <v>4</v>
      </c>
      <c r="J161" s="13">
        <v>5</v>
      </c>
      <c r="K161" s="10"/>
      <c r="L161" s="927"/>
      <c r="M161" s="927"/>
      <c r="N161" s="927"/>
      <c r="R161" s="6"/>
      <c r="S161" s="6"/>
      <c r="T161" s="6"/>
      <c r="U161" s="6"/>
      <c r="V161" s="6"/>
      <c r="W161" s="6"/>
      <c r="X161" s="6"/>
      <c r="Y161" s="6"/>
      <c r="Z161" s="6"/>
      <c r="AA161" s="6"/>
      <c r="AB161" s="6"/>
      <c r="AC161" s="6"/>
      <c r="AD161" s="6"/>
      <c r="AE161" s="6"/>
      <c r="AF161" s="6"/>
      <c r="AG161" s="6"/>
      <c r="AH161" s="6"/>
      <c r="AI161" s="6"/>
      <c r="AJ161" s="6"/>
      <c r="AK161" s="6"/>
      <c r="AL161" s="6"/>
      <c r="AM161" s="6"/>
    </row>
    <row r="162" spans="2:39" hidden="1" x14ac:dyDescent="0.3">
      <c r="B162" s="146">
        <v>5</v>
      </c>
      <c r="C162" s="2"/>
      <c r="D162" s="2"/>
      <c r="F162" s="2"/>
      <c r="H162" s="2"/>
      <c r="J162" s="11"/>
      <c r="K162" s="10"/>
      <c r="L162" s="146">
        <v>0.01</v>
      </c>
      <c r="M162" s="146">
        <v>0.99</v>
      </c>
      <c r="N162" s="146"/>
      <c r="R162" s="6"/>
      <c r="S162" s="6"/>
      <c r="T162" s="6"/>
      <c r="U162" s="6"/>
      <c r="V162" s="6"/>
      <c r="W162" s="6"/>
      <c r="X162" s="6"/>
      <c r="Y162" s="6"/>
      <c r="Z162" s="6"/>
      <c r="AA162" s="6"/>
      <c r="AB162" s="6"/>
      <c r="AC162" s="6"/>
      <c r="AD162" s="6"/>
      <c r="AE162" s="6"/>
      <c r="AF162" s="6"/>
      <c r="AG162" s="6"/>
      <c r="AH162" s="6"/>
      <c r="AI162" s="6"/>
      <c r="AJ162" s="6"/>
      <c r="AK162" s="6"/>
      <c r="AL162" s="6"/>
      <c r="AM162" s="6"/>
    </row>
    <row r="163" spans="2:39" ht="12.75" hidden="1" customHeight="1" x14ac:dyDescent="0.3">
      <c r="B163" s="146">
        <v>6</v>
      </c>
      <c r="C163" s="2"/>
      <c r="D163" s="2"/>
      <c r="E163" s="927" t="s">
        <v>2286</v>
      </c>
      <c r="F163" s="927"/>
      <c r="G163" s="927"/>
      <c r="H163" s="927"/>
      <c r="I163" s="927"/>
      <c r="J163" s="927"/>
      <c r="K163" s="10"/>
      <c r="R163" s="6"/>
      <c r="S163" s="6"/>
      <c r="T163" s="6"/>
      <c r="U163" s="6"/>
      <c r="V163" s="6"/>
      <c r="W163" s="6"/>
      <c r="X163" s="6"/>
      <c r="Y163" s="6"/>
      <c r="Z163" s="6"/>
      <c r="AA163" s="6"/>
      <c r="AB163" s="6"/>
      <c r="AC163" s="6"/>
      <c r="AD163" s="6"/>
      <c r="AE163" s="6"/>
      <c r="AF163" s="6"/>
      <c r="AG163" s="6"/>
      <c r="AH163" s="6"/>
      <c r="AI163" s="6"/>
      <c r="AJ163" s="6"/>
      <c r="AK163" s="6"/>
      <c r="AL163" s="6"/>
      <c r="AM163" s="6"/>
    </row>
    <row r="164" spans="2:39" hidden="1" x14ac:dyDescent="0.3">
      <c r="B164" s="146">
        <v>7</v>
      </c>
      <c r="C164" s="2"/>
      <c r="D164" s="2"/>
      <c r="E164" s="927"/>
      <c r="F164" s="927"/>
      <c r="G164" s="927"/>
      <c r="H164" s="927"/>
      <c r="I164" s="927"/>
      <c r="J164" s="927"/>
      <c r="K164" s="10"/>
      <c r="R164" s="6"/>
      <c r="S164" s="6"/>
      <c r="T164" s="6"/>
      <c r="U164" s="6"/>
      <c r="V164" s="6"/>
      <c r="W164" s="6"/>
      <c r="X164" s="6"/>
      <c r="Y164" s="6"/>
      <c r="Z164" s="6"/>
      <c r="AA164" s="6"/>
      <c r="AB164" s="6"/>
      <c r="AC164" s="6"/>
      <c r="AD164" s="6"/>
      <c r="AE164" s="6"/>
      <c r="AF164" s="6"/>
      <c r="AG164" s="6"/>
      <c r="AH164" s="6"/>
      <c r="AI164" s="6"/>
      <c r="AJ164" s="6"/>
      <c r="AK164" s="6"/>
      <c r="AL164" s="6"/>
      <c r="AM164" s="6"/>
    </row>
    <row r="165" spans="2:39" hidden="1" x14ac:dyDescent="0.3">
      <c r="B165" s="146">
        <v>8</v>
      </c>
      <c r="C165" s="2"/>
      <c r="E165" s="927"/>
      <c r="F165" s="927"/>
      <c r="G165" s="927"/>
      <c r="H165" s="927"/>
      <c r="I165" s="927"/>
      <c r="J165" s="927"/>
      <c r="R165" s="6"/>
      <c r="S165" s="6"/>
      <c r="T165" s="6"/>
      <c r="U165" s="6"/>
      <c r="V165" s="6"/>
      <c r="W165" s="6"/>
      <c r="X165" s="6"/>
      <c r="Y165" s="6"/>
      <c r="Z165" s="6"/>
      <c r="AA165" s="6"/>
      <c r="AB165" s="6"/>
      <c r="AC165" s="6"/>
      <c r="AD165" s="6"/>
      <c r="AE165" s="6"/>
      <c r="AF165" s="6"/>
      <c r="AG165" s="6"/>
      <c r="AH165" s="6"/>
      <c r="AI165" s="6"/>
      <c r="AJ165" s="6"/>
      <c r="AK165" s="6"/>
      <c r="AL165" s="6"/>
      <c r="AM165" s="6"/>
    </row>
    <row r="166" spans="2:39" hidden="1" x14ac:dyDescent="0.3">
      <c r="B166" s="146">
        <v>9</v>
      </c>
      <c r="C166" s="2"/>
      <c r="E166" s="927"/>
      <c r="F166" s="927"/>
      <c r="G166" s="927"/>
      <c r="H166" s="927"/>
      <c r="I166" s="927"/>
      <c r="J166" s="927"/>
      <c r="R166" s="6"/>
      <c r="S166" s="6"/>
      <c r="T166" s="6"/>
      <c r="U166" s="6"/>
      <c r="V166" s="6"/>
      <c r="W166" s="6"/>
      <c r="X166" s="6"/>
      <c r="Y166" s="6"/>
      <c r="Z166" s="6"/>
      <c r="AA166" s="6"/>
      <c r="AB166" s="6"/>
      <c r="AC166" s="6"/>
      <c r="AD166" s="6"/>
      <c r="AE166" s="6"/>
      <c r="AF166" s="6"/>
      <c r="AG166" s="6"/>
      <c r="AH166" s="6"/>
      <c r="AI166" s="6"/>
      <c r="AJ166" s="6"/>
      <c r="AK166" s="6"/>
      <c r="AL166" s="6"/>
      <c r="AM166" s="6"/>
    </row>
    <row r="167" spans="2:39" hidden="1" x14ac:dyDescent="0.3">
      <c r="B167" s="146">
        <v>10</v>
      </c>
      <c r="E167" s="85" t="s">
        <v>1941</v>
      </c>
      <c r="F167" s="85" t="s">
        <v>1790</v>
      </c>
      <c r="R167" s="6"/>
      <c r="S167" s="6"/>
      <c r="T167" s="6"/>
      <c r="U167" s="6"/>
      <c r="V167" s="6"/>
      <c r="W167" s="6"/>
      <c r="X167" s="6"/>
      <c r="Y167" s="6"/>
      <c r="Z167" s="6"/>
      <c r="AA167" s="6"/>
      <c r="AB167" s="6"/>
      <c r="AC167" s="6"/>
      <c r="AD167" s="6"/>
      <c r="AE167" s="6"/>
      <c r="AF167" s="6"/>
      <c r="AG167" s="6"/>
      <c r="AH167" s="6"/>
      <c r="AI167" s="6"/>
      <c r="AJ167" s="6"/>
      <c r="AK167" s="6"/>
      <c r="AL167" s="6"/>
      <c r="AM167" s="6"/>
    </row>
    <row r="168" spans="2:39" hidden="1" x14ac:dyDescent="0.3">
      <c r="B168" s="146">
        <v>11</v>
      </c>
      <c r="R168" s="6"/>
      <c r="S168" s="6"/>
      <c r="T168" s="6"/>
      <c r="U168" s="6"/>
      <c r="V168" s="6"/>
      <c r="W168" s="6"/>
      <c r="X168" s="6"/>
      <c r="Y168" s="6"/>
      <c r="Z168" s="6"/>
      <c r="AA168" s="6"/>
      <c r="AB168" s="6"/>
      <c r="AC168" s="6"/>
      <c r="AD168" s="6"/>
      <c r="AE168" s="6"/>
      <c r="AF168" s="6"/>
      <c r="AG168" s="6"/>
      <c r="AH168" s="6"/>
      <c r="AI168" s="6"/>
      <c r="AJ168" s="6"/>
      <c r="AK168" s="6"/>
      <c r="AL168" s="6"/>
      <c r="AM168" s="6"/>
    </row>
    <row r="169" spans="2:39" hidden="1" x14ac:dyDescent="0.3">
      <c r="B169" s="146">
        <v>12</v>
      </c>
      <c r="R169" s="6"/>
      <c r="S169" s="6"/>
      <c r="T169" s="6"/>
      <c r="U169" s="6"/>
      <c r="V169" s="6"/>
      <c r="W169" s="6"/>
      <c r="X169" s="6"/>
      <c r="Y169" s="6"/>
      <c r="Z169" s="6"/>
      <c r="AA169" s="6"/>
      <c r="AB169" s="6"/>
      <c r="AC169" s="6"/>
      <c r="AD169" s="6"/>
      <c r="AE169" s="6"/>
      <c r="AF169" s="6"/>
      <c r="AG169" s="6"/>
      <c r="AH169" s="6"/>
      <c r="AI169" s="6"/>
      <c r="AJ169" s="6"/>
      <c r="AK169" s="6"/>
      <c r="AL169" s="6"/>
      <c r="AM169" s="6"/>
    </row>
    <row r="170" spans="2:39" hidden="1" x14ac:dyDescent="0.3">
      <c r="B170" s="146">
        <v>13</v>
      </c>
      <c r="R170" s="6"/>
      <c r="S170" s="6"/>
      <c r="T170" s="6"/>
      <c r="U170" s="6"/>
      <c r="V170" s="6"/>
      <c r="W170" s="6"/>
      <c r="X170" s="6"/>
      <c r="Y170" s="6"/>
      <c r="Z170" s="6"/>
      <c r="AA170" s="6"/>
      <c r="AB170" s="6"/>
      <c r="AC170" s="6"/>
      <c r="AD170" s="6"/>
      <c r="AE170" s="6"/>
      <c r="AF170" s="6"/>
      <c r="AG170" s="6"/>
      <c r="AH170" s="6"/>
      <c r="AI170" s="6"/>
      <c r="AJ170" s="6"/>
      <c r="AK170" s="6"/>
      <c r="AL170" s="6"/>
      <c r="AM170" s="6"/>
    </row>
    <row r="171" spans="2:39" hidden="1" x14ac:dyDescent="0.3">
      <c r="B171" s="146">
        <v>14</v>
      </c>
      <c r="R171" s="6"/>
      <c r="S171" s="6"/>
      <c r="T171" s="6"/>
      <c r="U171" s="6"/>
      <c r="V171" s="6"/>
      <c r="W171" s="6"/>
      <c r="X171" s="6"/>
      <c r="Y171" s="6"/>
      <c r="Z171" s="6"/>
      <c r="AA171" s="6"/>
      <c r="AB171" s="6"/>
      <c r="AC171" s="6"/>
      <c r="AD171" s="6"/>
      <c r="AE171" s="6"/>
      <c r="AF171" s="6"/>
      <c r="AG171" s="6"/>
      <c r="AH171" s="6"/>
      <c r="AI171" s="6"/>
      <c r="AJ171" s="6"/>
      <c r="AK171" s="6"/>
      <c r="AL171" s="6"/>
      <c r="AM171" s="6"/>
    </row>
    <row r="172" spans="2:39" hidden="1" x14ac:dyDescent="0.3">
      <c r="B172" s="146">
        <v>15</v>
      </c>
      <c r="R172" s="6"/>
      <c r="S172" s="6"/>
      <c r="T172" s="6"/>
      <c r="U172" s="6"/>
      <c r="V172" s="6"/>
      <c r="W172" s="6"/>
      <c r="X172" s="6"/>
      <c r="Y172" s="6"/>
      <c r="Z172" s="6"/>
      <c r="AA172" s="6"/>
      <c r="AB172" s="6"/>
      <c r="AC172" s="6"/>
      <c r="AD172" s="6"/>
      <c r="AE172" s="6"/>
      <c r="AF172" s="6"/>
      <c r="AG172" s="6"/>
      <c r="AH172" s="6"/>
      <c r="AI172" s="6"/>
      <c r="AJ172" s="6"/>
      <c r="AK172" s="6"/>
      <c r="AL172" s="6"/>
      <c r="AM172" s="6"/>
    </row>
    <row r="173" spans="2:39" hidden="1" x14ac:dyDescent="0.3">
      <c r="B173" s="146">
        <v>16</v>
      </c>
      <c r="R173" s="6"/>
      <c r="S173" s="6"/>
      <c r="T173" s="6"/>
      <c r="U173" s="6"/>
      <c r="V173" s="6"/>
      <c r="W173" s="6"/>
      <c r="X173" s="6"/>
      <c r="Y173" s="6"/>
      <c r="Z173" s="6"/>
      <c r="AA173" s="6"/>
      <c r="AB173" s="6"/>
      <c r="AC173" s="6"/>
      <c r="AD173" s="6"/>
      <c r="AE173" s="6"/>
      <c r="AF173" s="6"/>
      <c r="AG173" s="6"/>
      <c r="AH173" s="6"/>
      <c r="AI173" s="6"/>
      <c r="AJ173" s="6"/>
      <c r="AK173" s="6"/>
      <c r="AL173" s="6"/>
      <c r="AM173" s="6"/>
    </row>
    <row r="174" spans="2:39" hidden="1" x14ac:dyDescent="0.3">
      <c r="B174" s="146">
        <v>17</v>
      </c>
      <c r="R174" s="6"/>
      <c r="S174" s="6"/>
      <c r="T174" s="6"/>
      <c r="U174" s="6"/>
      <c r="V174" s="6"/>
      <c r="W174" s="6"/>
      <c r="X174" s="6"/>
      <c r="Y174" s="6"/>
      <c r="Z174" s="6"/>
      <c r="AA174" s="6"/>
      <c r="AB174" s="6"/>
      <c r="AC174" s="6"/>
      <c r="AD174" s="6"/>
      <c r="AE174" s="6"/>
      <c r="AF174" s="6"/>
      <c r="AG174" s="6"/>
      <c r="AH174" s="6"/>
      <c r="AI174" s="6"/>
      <c r="AJ174" s="6"/>
      <c r="AK174" s="6"/>
      <c r="AL174" s="6"/>
      <c r="AM174" s="6"/>
    </row>
    <row r="175" spans="2:39" hidden="1" x14ac:dyDescent="0.3">
      <c r="B175" s="146">
        <v>18</v>
      </c>
      <c r="R175" s="6"/>
      <c r="S175" s="6"/>
      <c r="T175" s="6"/>
      <c r="U175" s="6"/>
      <c r="V175" s="6"/>
      <c r="W175" s="6"/>
      <c r="X175" s="6"/>
      <c r="Y175" s="6"/>
      <c r="Z175" s="6"/>
      <c r="AA175" s="6"/>
      <c r="AB175" s="6"/>
      <c r="AC175" s="6"/>
      <c r="AD175" s="6"/>
      <c r="AE175" s="6"/>
      <c r="AF175" s="6"/>
      <c r="AG175" s="6"/>
      <c r="AH175" s="6"/>
      <c r="AI175" s="6"/>
      <c r="AJ175" s="6"/>
      <c r="AK175" s="6"/>
      <c r="AL175" s="6"/>
      <c r="AM175" s="6"/>
    </row>
    <row r="176" spans="2:39" hidden="1" x14ac:dyDescent="0.3">
      <c r="B176" s="146">
        <v>19</v>
      </c>
      <c r="R176" s="6"/>
      <c r="S176" s="6"/>
      <c r="T176" s="6"/>
      <c r="U176" s="6"/>
      <c r="V176" s="6"/>
      <c r="W176" s="6"/>
      <c r="X176" s="6"/>
      <c r="Y176" s="6"/>
      <c r="Z176" s="6"/>
      <c r="AA176" s="6"/>
      <c r="AB176" s="6"/>
      <c r="AC176" s="6"/>
      <c r="AD176" s="6"/>
      <c r="AE176" s="6"/>
      <c r="AF176" s="6"/>
      <c r="AG176" s="6"/>
      <c r="AH176" s="6"/>
      <c r="AI176" s="6"/>
      <c r="AJ176" s="6"/>
      <c r="AK176" s="6"/>
      <c r="AL176" s="6"/>
      <c r="AM176" s="6"/>
    </row>
    <row r="177" spans="2:39" hidden="1" x14ac:dyDescent="0.3">
      <c r="B177" s="146">
        <v>20</v>
      </c>
      <c r="R177" s="6"/>
      <c r="S177" s="6"/>
      <c r="T177" s="6"/>
      <c r="U177" s="6"/>
      <c r="V177" s="6"/>
      <c r="W177" s="6"/>
      <c r="X177" s="6"/>
      <c r="Y177" s="6"/>
      <c r="Z177" s="6"/>
      <c r="AA177" s="6"/>
      <c r="AB177" s="6"/>
      <c r="AC177" s="6"/>
      <c r="AD177" s="6"/>
      <c r="AE177" s="6"/>
      <c r="AF177" s="6"/>
      <c r="AG177" s="6"/>
      <c r="AH177" s="6"/>
      <c r="AI177" s="6"/>
      <c r="AJ177" s="6"/>
      <c r="AK177" s="6"/>
      <c r="AL177" s="6"/>
      <c r="AM177" s="6"/>
    </row>
    <row r="178" spans="2:39" hidden="1" x14ac:dyDescent="0.3">
      <c r="B178" s="146">
        <v>21</v>
      </c>
      <c r="R178" s="6"/>
      <c r="S178" s="6"/>
      <c r="T178" s="6"/>
      <c r="U178" s="6"/>
      <c r="V178" s="6"/>
      <c r="W178" s="6"/>
      <c r="X178" s="6"/>
      <c r="Y178" s="6"/>
      <c r="Z178" s="6"/>
      <c r="AA178" s="6"/>
      <c r="AB178" s="6"/>
      <c r="AC178" s="6"/>
      <c r="AD178" s="6"/>
      <c r="AE178" s="6"/>
      <c r="AF178" s="6"/>
      <c r="AG178" s="6"/>
      <c r="AH178" s="6"/>
      <c r="AI178" s="6"/>
      <c r="AJ178" s="6"/>
      <c r="AK178" s="6"/>
      <c r="AL178" s="6"/>
      <c r="AM178" s="6"/>
    </row>
    <row r="179" spans="2:39" hidden="1" x14ac:dyDescent="0.3">
      <c r="B179" s="146">
        <v>22</v>
      </c>
      <c r="R179" s="6"/>
      <c r="S179" s="6"/>
      <c r="T179" s="6"/>
      <c r="U179" s="6"/>
      <c r="V179" s="6"/>
      <c r="W179" s="6"/>
      <c r="X179" s="6"/>
      <c r="Y179" s="6"/>
      <c r="Z179" s="6"/>
      <c r="AA179" s="6"/>
      <c r="AB179" s="6"/>
      <c r="AC179" s="6"/>
      <c r="AD179" s="6"/>
      <c r="AE179" s="6"/>
      <c r="AF179" s="6"/>
      <c r="AG179" s="6"/>
      <c r="AH179" s="6"/>
      <c r="AI179" s="6"/>
      <c r="AJ179" s="6"/>
      <c r="AK179" s="6"/>
      <c r="AL179" s="6"/>
      <c r="AM179" s="6"/>
    </row>
    <row r="180" spans="2:39" hidden="1" x14ac:dyDescent="0.3">
      <c r="B180" s="146">
        <v>23</v>
      </c>
      <c r="R180" s="6"/>
      <c r="S180" s="6"/>
      <c r="T180" s="6"/>
      <c r="U180" s="6"/>
      <c r="V180" s="6"/>
      <c r="W180" s="6"/>
      <c r="X180" s="6"/>
      <c r="Y180" s="6"/>
      <c r="Z180" s="6"/>
      <c r="AA180" s="6"/>
      <c r="AB180" s="6"/>
      <c r="AC180" s="6"/>
      <c r="AD180" s="6"/>
      <c r="AE180" s="6"/>
      <c r="AF180" s="6"/>
      <c r="AG180" s="6"/>
      <c r="AH180" s="6"/>
      <c r="AI180" s="6"/>
      <c r="AJ180" s="6"/>
      <c r="AK180" s="6"/>
      <c r="AL180" s="6"/>
      <c r="AM180" s="6"/>
    </row>
    <row r="181" spans="2:39" hidden="1" x14ac:dyDescent="0.3">
      <c r="B181" s="146">
        <v>24</v>
      </c>
      <c r="R181" s="6"/>
      <c r="S181" s="6"/>
      <c r="T181" s="6"/>
      <c r="U181" s="6"/>
      <c r="V181" s="6"/>
      <c r="W181" s="6"/>
      <c r="X181" s="6"/>
      <c r="Y181" s="6"/>
      <c r="Z181" s="6"/>
      <c r="AA181" s="6"/>
      <c r="AB181" s="6"/>
      <c r="AC181" s="6"/>
      <c r="AD181" s="6"/>
      <c r="AE181" s="6"/>
      <c r="AF181" s="6"/>
      <c r="AG181" s="6"/>
      <c r="AH181" s="6"/>
      <c r="AI181" s="6"/>
      <c r="AJ181" s="6"/>
      <c r="AK181" s="6"/>
      <c r="AL181" s="6"/>
      <c r="AM181" s="6"/>
    </row>
    <row r="182" spans="2:39" hidden="1" x14ac:dyDescent="0.3">
      <c r="B182" s="146">
        <v>25</v>
      </c>
      <c r="R182" s="6"/>
      <c r="S182" s="6"/>
      <c r="T182" s="6"/>
      <c r="U182" s="6"/>
      <c r="V182" s="6"/>
      <c r="W182" s="6"/>
      <c r="X182" s="6"/>
      <c r="Y182" s="6"/>
      <c r="Z182" s="6"/>
      <c r="AA182" s="6"/>
      <c r="AB182" s="6"/>
      <c r="AC182" s="6"/>
      <c r="AD182" s="6"/>
      <c r="AE182" s="6"/>
      <c r="AF182" s="6"/>
      <c r="AG182" s="6"/>
      <c r="AH182" s="6"/>
      <c r="AI182" s="6"/>
      <c r="AJ182" s="6"/>
      <c r="AK182" s="6"/>
      <c r="AL182" s="6"/>
      <c r="AM182" s="6"/>
    </row>
    <row r="183" spans="2:39" hidden="1" x14ac:dyDescent="0.3">
      <c r="B183" s="146">
        <v>26</v>
      </c>
      <c r="R183" s="6"/>
      <c r="S183" s="6"/>
      <c r="T183" s="6"/>
      <c r="U183" s="6"/>
      <c r="V183" s="6"/>
      <c r="W183" s="6"/>
      <c r="X183" s="6"/>
      <c r="Y183" s="6"/>
      <c r="Z183" s="6"/>
      <c r="AA183" s="6"/>
      <c r="AB183" s="6"/>
      <c r="AC183" s="6"/>
      <c r="AD183" s="6"/>
      <c r="AE183" s="6"/>
      <c r="AF183" s="6"/>
      <c r="AG183" s="6"/>
      <c r="AH183" s="6"/>
      <c r="AI183" s="6"/>
      <c r="AJ183" s="6"/>
      <c r="AK183" s="6"/>
      <c r="AL183" s="6"/>
      <c r="AM183" s="6"/>
    </row>
    <row r="184" spans="2:39" hidden="1" x14ac:dyDescent="0.3">
      <c r="B184" s="146">
        <v>27</v>
      </c>
      <c r="R184" s="6"/>
      <c r="S184" s="6"/>
      <c r="T184" s="6"/>
      <c r="U184" s="6"/>
      <c r="V184" s="6"/>
      <c r="W184" s="6"/>
      <c r="X184" s="6"/>
      <c r="Y184" s="6"/>
      <c r="Z184" s="6"/>
      <c r="AA184" s="6"/>
      <c r="AB184" s="6"/>
      <c r="AC184" s="6"/>
      <c r="AD184" s="6"/>
      <c r="AE184" s="6"/>
      <c r="AF184" s="6"/>
      <c r="AG184" s="6"/>
      <c r="AH184" s="6"/>
      <c r="AI184" s="6"/>
      <c r="AJ184" s="6"/>
      <c r="AK184" s="6"/>
      <c r="AL184" s="6"/>
      <c r="AM184" s="6"/>
    </row>
    <row r="185" spans="2:39" hidden="1" x14ac:dyDescent="0.3">
      <c r="B185" s="146">
        <v>28</v>
      </c>
      <c r="R185" s="6"/>
      <c r="S185" s="6"/>
      <c r="T185" s="6"/>
      <c r="U185" s="6"/>
      <c r="V185" s="6"/>
      <c r="W185" s="6"/>
      <c r="X185" s="6"/>
      <c r="Y185" s="6"/>
      <c r="Z185" s="6"/>
      <c r="AA185" s="6"/>
      <c r="AB185" s="6"/>
      <c r="AC185" s="6"/>
      <c r="AD185" s="6"/>
      <c r="AE185" s="6"/>
      <c r="AF185" s="6"/>
      <c r="AG185" s="6"/>
      <c r="AH185" s="6"/>
      <c r="AI185" s="6"/>
      <c r="AJ185" s="6"/>
      <c r="AK185" s="6"/>
      <c r="AL185" s="6"/>
      <c r="AM185" s="6"/>
    </row>
    <row r="186" spans="2:39" hidden="1" x14ac:dyDescent="0.3">
      <c r="B186" s="146">
        <v>29</v>
      </c>
      <c r="R186" s="6"/>
      <c r="S186" s="6"/>
      <c r="T186" s="6"/>
      <c r="U186" s="6"/>
      <c r="V186" s="6"/>
      <c r="W186" s="6"/>
      <c r="X186" s="6"/>
      <c r="Y186" s="6"/>
      <c r="Z186" s="6"/>
      <c r="AA186" s="6"/>
      <c r="AB186" s="6"/>
      <c r="AC186" s="6"/>
      <c r="AD186" s="6"/>
      <c r="AE186" s="6"/>
      <c r="AF186" s="6"/>
      <c r="AG186" s="6"/>
      <c r="AH186" s="6"/>
      <c r="AI186" s="6"/>
      <c r="AJ186" s="6"/>
      <c r="AK186" s="6"/>
      <c r="AL186" s="6"/>
      <c r="AM186" s="6"/>
    </row>
    <row r="187" spans="2:39" hidden="1" x14ac:dyDescent="0.3">
      <c r="B187" s="146">
        <v>30</v>
      </c>
      <c r="R187" s="6"/>
      <c r="S187" s="6"/>
      <c r="T187" s="6"/>
      <c r="U187" s="6"/>
      <c r="V187" s="6"/>
      <c r="W187" s="6"/>
      <c r="X187" s="6"/>
      <c r="Y187" s="6"/>
      <c r="Z187" s="6"/>
      <c r="AA187" s="6"/>
      <c r="AB187" s="6"/>
      <c r="AC187" s="6"/>
      <c r="AD187" s="6"/>
      <c r="AE187" s="6"/>
      <c r="AF187" s="6"/>
      <c r="AG187" s="6"/>
      <c r="AH187" s="6"/>
      <c r="AI187" s="6"/>
      <c r="AJ187" s="6"/>
      <c r="AK187" s="6"/>
      <c r="AL187" s="6"/>
      <c r="AM187" s="6"/>
    </row>
    <row r="188" spans="2:39" hidden="1" x14ac:dyDescent="0.3">
      <c r="B188" s="146">
        <v>31</v>
      </c>
      <c r="R188" s="6"/>
      <c r="S188" s="6"/>
      <c r="T188" s="6"/>
      <c r="U188" s="6"/>
      <c r="V188" s="6"/>
      <c r="W188" s="6"/>
      <c r="X188" s="6"/>
      <c r="Y188" s="6"/>
      <c r="Z188" s="6"/>
      <c r="AA188" s="6"/>
      <c r="AB188" s="6"/>
      <c r="AC188" s="6"/>
      <c r="AD188" s="6"/>
      <c r="AE188" s="6"/>
      <c r="AF188" s="6"/>
      <c r="AG188" s="6"/>
      <c r="AH188" s="6"/>
      <c r="AI188" s="6"/>
      <c r="AJ188" s="6"/>
      <c r="AK188" s="6"/>
      <c r="AL188" s="6"/>
      <c r="AM188" s="6"/>
    </row>
    <row r="189" spans="2:39" hidden="1" x14ac:dyDescent="0.3">
      <c r="B189" s="146">
        <v>32</v>
      </c>
      <c r="R189" s="6"/>
      <c r="S189" s="6"/>
      <c r="T189" s="6"/>
      <c r="U189" s="6"/>
      <c r="V189" s="6"/>
      <c r="W189" s="6"/>
      <c r="X189" s="6"/>
      <c r="Y189" s="6"/>
      <c r="Z189" s="6"/>
      <c r="AA189" s="6"/>
      <c r="AB189" s="6"/>
      <c r="AC189" s="6"/>
      <c r="AD189" s="6"/>
      <c r="AE189" s="6"/>
      <c r="AF189" s="6"/>
      <c r="AG189" s="6"/>
      <c r="AH189" s="6"/>
      <c r="AI189" s="6"/>
      <c r="AJ189" s="6"/>
      <c r="AK189" s="6"/>
      <c r="AL189" s="6"/>
      <c r="AM189" s="6"/>
    </row>
    <row r="190" spans="2:39" hidden="1" x14ac:dyDescent="0.3">
      <c r="B190" s="146">
        <v>33</v>
      </c>
      <c r="R190" s="6"/>
      <c r="S190" s="6"/>
      <c r="T190" s="6"/>
      <c r="U190" s="6"/>
      <c r="V190" s="6"/>
      <c r="W190" s="6"/>
      <c r="X190" s="6"/>
      <c r="Y190" s="6"/>
      <c r="Z190" s="6"/>
      <c r="AA190" s="6"/>
      <c r="AB190" s="6"/>
      <c r="AC190" s="6"/>
      <c r="AD190" s="6"/>
      <c r="AE190" s="6"/>
      <c r="AF190" s="6"/>
      <c r="AG190" s="6"/>
      <c r="AH190" s="6"/>
      <c r="AI190" s="6"/>
      <c r="AJ190" s="6"/>
      <c r="AK190" s="6"/>
      <c r="AL190" s="6"/>
      <c r="AM190" s="6"/>
    </row>
    <row r="191" spans="2:39" hidden="1" x14ac:dyDescent="0.3">
      <c r="B191" s="146">
        <v>34</v>
      </c>
      <c r="R191" s="6"/>
      <c r="S191" s="6"/>
      <c r="T191" s="6"/>
      <c r="U191" s="6"/>
      <c r="V191" s="6"/>
      <c r="W191" s="6"/>
      <c r="X191" s="6"/>
      <c r="Y191" s="6"/>
      <c r="Z191" s="6"/>
      <c r="AA191" s="6"/>
      <c r="AB191" s="6"/>
      <c r="AC191" s="6"/>
      <c r="AD191" s="6"/>
      <c r="AE191" s="6"/>
      <c r="AF191" s="6"/>
      <c r="AG191" s="6"/>
      <c r="AH191" s="6"/>
      <c r="AI191" s="6"/>
      <c r="AJ191" s="6"/>
      <c r="AK191" s="6"/>
      <c r="AL191" s="6"/>
      <c r="AM191" s="6"/>
    </row>
    <row r="192" spans="2:39" hidden="1" x14ac:dyDescent="0.3">
      <c r="B192" s="146">
        <v>35</v>
      </c>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3">
      <c r="B193" s="146">
        <v>36</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3">
      <c r="B194" s="146">
        <v>37</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3">
      <c r="B195" s="146">
        <v>38</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3">
      <c r="B196" s="146">
        <v>39</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3">
      <c r="B197" s="146">
        <v>40</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3">
      <c r="B198" s="146">
        <v>41</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3">
      <c r="B199" s="146">
        <v>42</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3">
      <c r="B200" s="146">
        <v>43</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3">
      <c r="B201" s="146">
        <v>44</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3">
      <c r="B202" s="146">
        <v>45</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3">
      <c r="B203" s="146">
        <v>46</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3">
      <c r="B204" s="146">
        <v>47</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3">
      <c r="B205" s="146">
        <v>48</v>
      </c>
    </row>
    <row r="206" spans="2:39" hidden="1" x14ac:dyDescent="0.3">
      <c r="B206" s="146">
        <v>49</v>
      </c>
    </row>
    <row r="207" spans="2:39" hidden="1" x14ac:dyDescent="0.3">
      <c r="B207" s="146">
        <v>50</v>
      </c>
    </row>
    <row r="208" spans="2:39" hidden="1" x14ac:dyDescent="0.3">
      <c r="B208" s="146">
        <v>51</v>
      </c>
    </row>
    <row r="209" spans="2:2" hidden="1" x14ac:dyDescent="0.3">
      <c r="B209" s="146">
        <v>52</v>
      </c>
    </row>
    <row r="210" spans="2:2" hidden="1" x14ac:dyDescent="0.3">
      <c r="B210" s="146">
        <v>53</v>
      </c>
    </row>
    <row r="211" spans="2:2" hidden="1" x14ac:dyDescent="0.3">
      <c r="B211" s="146">
        <v>54</v>
      </c>
    </row>
    <row r="212" spans="2:2" hidden="1" x14ac:dyDescent="0.3">
      <c r="B212" s="146">
        <v>55</v>
      </c>
    </row>
    <row r="213" spans="2:2" hidden="1" x14ac:dyDescent="0.3">
      <c r="B213" s="146">
        <v>56</v>
      </c>
    </row>
    <row r="214" spans="2:2" hidden="1" x14ac:dyDescent="0.3">
      <c r="B214" s="146">
        <v>57</v>
      </c>
    </row>
    <row r="215" spans="2:2" hidden="1" x14ac:dyDescent="0.3">
      <c r="B215" s="146">
        <v>58</v>
      </c>
    </row>
    <row r="216" spans="2:2" hidden="1" x14ac:dyDescent="0.3">
      <c r="B216" s="146">
        <v>59</v>
      </c>
    </row>
    <row r="217" spans="2:2" hidden="1" x14ac:dyDescent="0.3">
      <c r="B217" s="146">
        <v>60</v>
      </c>
    </row>
    <row r="218" spans="2:2" hidden="1" x14ac:dyDescent="0.3">
      <c r="B218" s="146">
        <v>61</v>
      </c>
    </row>
    <row r="219" spans="2:2" hidden="1" x14ac:dyDescent="0.3">
      <c r="B219" s="146">
        <v>62</v>
      </c>
    </row>
    <row r="220" spans="2:2" hidden="1" x14ac:dyDescent="0.3">
      <c r="B220" s="146">
        <v>63</v>
      </c>
    </row>
    <row r="221" spans="2:2" hidden="1" x14ac:dyDescent="0.3">
      <c r="B221" s="146">
        <v>64</v>
      </c>
    </row>
    <row r="222" spans="2:2" hidden="1" x14ac:dyDescent="0.3">
      <c r="B222" s="146">
        <v>65</v>
      </c>
    </row>
    <row r="223" spans="2:2" hidden="1" x14ac:dyDescent="0.3">
      <c r="B223" s="146">
        <v>66</v>
      </c>
    </row>
    <row r="224" spans="2:2" hidden="1" x14ac:dyDescent="0.3">
      <c r="B224" s="146">
        <v>67</v>
      </c>
    </row>
    <row r="225" spans="2:2" hidden="1" x14ac:dyDescent="0.3">
      <c r="B225" s="146">
        <v>68</v>
      </c>
    </row>
    <row r="226" spans="2:2" hidden="1" x14ac:dyDescent="0.3">
      <c r="B226" s="146">
        <v>69</v>
      </c>
    </row>
    <row r="227" spans="2:2" hidden="1" x14ac:dyDescent="0.3">
      <c r="B227" s="146">
        <v>70</v>
      </c>
    </row>
    <row r="228" spans="2:2" hidden="1" x14ac:dyDescent="0.3">
      <c r="B228" s="146">
        <v>71</v>
      </c>
    </row>
    <row r="229" spans="2:2" hidden="1" x14ac:dyDescent="0.3">
      <c r="B229" s="146">
        <v>72</v>
      </c>
    </row>
    <row r="230" spans="2:2" hidden="1" x14ac:dyDescent="0.3">
      <c r="B230" s="146">
        <v>73</v>
      </c>
    </row>
    <row r="231" spans="2:2" hidden="1" x14ac:dyDescent="0.3">
      <c r="B231" s="146">
        <v>74</v>
      </c>
    </row>
    <row r="232" spans="2:2" hidden="1" x14ac:dyDescent="0.3">
      <c r="B232" s="146">
        <v>75</v>
      </c>
    </row>
    <row r="233" spans="2:2" hidden="1" x14ac:dyDescent="0.3">
      <c r="B233" s="146">
        <v>76</v>
      </c>
    </row>
    <row r="234" spans="2:2" hidden="1" x14ac:dyDescent="0.3">
      <c r="B234" s="146">
        <v>77</v>
      </c>
    </row>
    <row r="235" spans="2:2" hidden="1" x14ac:dyDescent="0.3">
      <c r="B235" s="146">
        <v>78</v>
      </c>
    </row>
    <row r="236" spans="2:2" hidden="1" x14ac:dyDescent="0.3">
      <c r="B236" s="146">
        <v>79</v>
      </c>
    </row>
    <row r="237" spans="2:2" hidden="1" x14ac:dyDescent="0.3">
      <c r="B237" s="146">
        <v>80</v>
      </c>
    </row>
    <row r="238" spans="2:2" hidden="1" x14ac:dyDescent="0.3">
      <c r="B238" s="146">
        <v>81</v>
      </c>
    </row>
    <row r="239" spans="2:2" hidden="1" x14ac:dyDescent="0.3">
      <c r="B239" s="146">
        <v>82</v>
      </c>
    </row>
    <row r="240" spans="2:2" hidden="1" x14ac:dyDescent="0.3">
      <c r="B240" s="146">
        <v>83</v>
      </c>
    </row>
    <row r="241" spans="2:2" hidden="1" x14ac:dyDescent="0.3">
      <c r="B241" s="146">
        <v>84</v>
      </c>
    </row>
    <row r="242" spans="2:2" hidden="1" x14ac:dyDescent="0.3">
      <c r="B242" s="146">
        <v>85</v>
      </c>
    </row>
    <row r="243" spans="2:2" hidden="1" x14ac:dyDescent="0.3">
      <c r="B243" s="146">
        <v>86</v>
      </c>
    </row>
    <row r="244" spans="2:2" hidden="1" x14ac:dyDescent="0.3">
      <c r="B244" s="146">
        <v>87</v>
      </c>
    </row>
    <row r="245" spans="2:2" hidden="1" x14ac:dyDescent="0.3">
      <c r="B245" s="146">
        <v>88</v>
      </c>
    </row>
    <row r="246" spans="2:2" hidden="1" x14ac:dyDescent="0.3">
      <c r="B246" s="146">
        <v>89</v>
      </c>
    </row>
    <row r="247" spans="2:2" hidden="1" x14ac:dyDescent="0.3">
      <c r="B247" s="146">
        <v>90</v>
      </c>
    </row>
    <row r="248" spans="2:2" hidden="1" x14ac:dyDescent="0.3">
      <c r="B248" s="146">
        <v>91</v>
      </c>
    </row>
    <row r="249" spans="2:2" hidden="1" x14ac:dyDescent="0.3">
      <c r="B249" s="146">
        <v>92</v>
      </c>
    </row>
    <row r="250" spans="2:2" hidden="1" x14ac:dyDescent="0.3">
      <c r="B250" s="146">
        <v>93</v>
      </c>
    </row>
    <row r="251" spans="2:2" hidden="1" x14ac:dyDescent="0.3">
      <c r="B251" s="146">
        <v>94</v>
      </c>
    </row>
    <row r="252" spans="2:2" hidden="1" x14ac:dyDescent="0.3">
      <c r="B252" s="146">
        <v>95</v>
      </c>
    </row>
    <row r="253" spans="2:2" hidden="1" x14ac:dyDescent="0.3">
      <c r="B253" s="146">
        <v>96</v>
      </c>
    </row>
    <row r="254" spans="2:2" hidden="1" x14ac:dyDescent="0.3">
      <c r="B254" s="146">
        <v>97</v>
      </c>
    </row>
    <row r="255" spans="2:2" hidden="1" x14ac:dyDescent="0.3">
      <c r="B255" s="146">
        <v>98</v>
      </c>
    </row>
    <row r="256" spans="2:2" hidden="1" x14ac:dyDescent="0.3">
      <c r="B256" s="146">
        <v>99</v>
      </c>
    </row>
    <row r="257" spans="2:2" hidden="1" x14ac:dyDescent="0.3">
      <c r="B257" s="146">
        <v>100</v>
      </c>
    </row>
    <row r="258" spans="2:2" hidden="1" x14ac:dyDescent="0.3"/>
    <row r="259" spans="2:2" hidden="1" x14ac:dyDescent="0.3"/>
    <row r="578" s="2" customFormat="1" x14ac:dyDescent="0.3"/>
  </sheetData>
  <sheetProtection sheet="1" objects="1" scenarios="1"/>
  <mergeCells count="254">
    <mergeCell ref="T49:T50"/>
    <mergeCell ref="E159:J160"/>
    <mergeCell ref="P87:P101"/>
    <mergeCell ref="K89:L89"/>
    <mergeCell ref="M87:O100"/>
    <mergeCell ref="B89:H89"/>
    <mergeCell ref="G88:H88"/>
    <mergeCell ref="K93:L93"/>
    <mergeCell ref="B88:F88"/>
    <mergeCell ref="B85:J85"/>
    <mergeCell ref="B99:F99"/>
    <mergeCell ref="K100:L100"/>
    <mergeCell ref="B100:F100"/>
    <mergeCell ref="N119:O119"/>
    <mergeCell ref="I110:L114"/>
    <mergeCell ref="B108:O108"/>
    <mergeCell ref="J104:K104"/>
    <mergeCell ref="M104:N104"/>
    <mergeCell ref="B125:O125"/>
    <mergeCell ref="I87:L87"/>
    <mergeCell ref="K91:L91"/>
    <mergeCell ref="B101:J101"/>
    <mergeCell ref="B68:O68"/>
    <mergeCell ref="J52:K52"/>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B37:P37"/>
    <mergeCell ref="B40:H40"/>
    <mergeCell ref="I42:J42"/>
    <mergeCell ref="I40:J40"/>
    <mergeCell ref="B38:H38"/>
    <mergeCell ref="B8:I8"/>
    <mergeCell ref="J8:K8"/>
    <mergeCell ref="K35:O35"/>
    <mergeCell ref="B26:O26"/>
    <mergeCell ref="M9:N9"/>
    <mergeCell ref="M10:N10"/>
    <mergeCell ref="M8:N8"/>
    <mergeCell ref="K39:L39"/>
    <mergeCell ref="B25:M25"/>
    <mergeCell ref="B21:O21"/>
    <mergeCell ref="B22:O22"/>
    <mergeCell ref="B30:M30"/>
    <mergeCell ref="J11:K11"/>
    <mergeCell ref="B13:O13"/>
    <mergeCell ref="B11:I11"/>
    <mergeCell ref="I38:L38"/>
    <mergeCell ref="K40:L40"/>
    <mergeCell ref="P38:P48"/>
    <mergeCell ref="K48:O48"/>
    <mergeCell ref="M38:O47"/>
    <mergeCell ref="I43:J43"/>
    <mergeCell ref="B48:J48"/>
    <mergeCell ref="B55:O55"/>
    <mergeCell ref="I44:J44"/>
    <mergeCell ref="B46:F46"/>
    <mergeCell ref="B47:F47"/>
    <mergeCell ref="G47:H47"/>
    <mergeCell ref="B43:H43"/>
    <mergeCell ref="I41:J41"/>
    <mergeCell ref="K41:L41"/>
    <mergeCell ref="K42:L42"/>
    <mergeCell ref="B39:F39"/>
    <mergeCell ref="B53:I53"/>
    <mergeCell ref="I47:J47"/>
    <mergeCell ref="K46:L46"/>
    <mergeCell ref="I39:J39"/>
    <mergeCell ref="G46:H46"/>
    <mergeCell ref="N80:O80"/>
    <mergeCell ref="N72:O72"/>
    <mergeCell ref="I88:J88"/>
    <mergeCell ref="I89:J89"/>
    <mergeCell ref="K90:L90"/>
    <mergeCell ref="B86:P86"/>
    <mergeCell ref="B83:O83"/>
    <mergeCell ref="M51:N51"/>
    <mergeCell ref="B51:I51"/>
    <mergeCell ref="P83:P85"/>
    <mergeCell ref="B56:E67"/>
    <mergeCell ref="I56:L67"/>
    <mergeCell ref="P56:P67"/>
    <mergeCell ref="I98:J98"/>
    <mergeCell ref="I90:J90"/>
    <mergeCell ref="B87:H87"/>
    <mergeCell ref="B84:O84"/>
    <mergeCell ref="B81:O81"/>
    <mergeCell ref="I91:J91"/>
    <mergeCell ref="I94:J94"/>
    <mergeCell ref="K94:L94"/>
    <mergeCell ref="B94:H94"/>
    <mergeCell ref="B14:E20"/>
    <mergeCell ref="I14:L20"/>
    <mergeCell ref="M11:N11"/>
    <mergeCell ref="M6:N6"/>
    <mergeCell ref="M7:N7"/>
    <mergeCell ref="B5:O5"/>
    <mergeCell ref="J10:K10"/>
    <mergeCell ref="J6:K6"/>
    <mergeCell ref="B7:I7"/>
    <mergeCell ref="B36:P36"/>
    <mergeCell ref="P50:P54"/>
    <mergeCell ref="M53:N53"/>
    <mergeCell ref="G39:H39"/>
    <mergeCell ref="K99:L99"/>
    <mergeCell ref="K92:L92"/>
    <mergeCell ref="I97:J97"/>
    <mergeCell ref="I92:J92"/>
    <mergeCell ref="B119:K119"/>
    <mergeCell ref="L119:M119"/>
    <mergeCell ref="K43:L43"/>
    <mergeCell ref="K44:L44"/>
    <mergeCell ref="K45:L45"/>
    <mergeCell ref="J53:K53"/>
    <mergeCell ref="I45:J45"/>
    <mergeCell ref="K47:L47"/>
    <mergeCell ref="M52:N52"/>
    <mergeCell ref="B49:P49"/>
    <mergeCell ref="J51:K51"/>
    <mergeCell ref="B54:O54"/>
    <mergeCell ref="B50:O50"/>
    <mergeCell ref="B52:I52"/>
    <mergeCell ref="I46:J46"/>
    <mergeCell ref="I99:J99"/>
    <mergeCell ref="G99:H99"/>
    <mergeCell ref="B110:E114"/>
    <mergeCell ref="N79:O79"/>
    <mergeCell ref="N73:O73"/>
    <mergeCell ref="K85:O85"/>
    <mergeCell ref="P69:P78"/>
    <mergeCell ref="K101:O101"/>
    <mergeCell ref="B109:P109"/>
    <mergeCell ref="M106:N106"/>
    <mergeCell ref="B102:P102"/>
    <mergeCell ref="I100:J100"/>
    <mergeCell ref="K88:L88"/>
    <mergeCell ref="I93:J93"/>
    <mergeCell ref="B74:O74"/>
    <mergeCell ref="I96:J96"/>
    <mergeCell ref="K95:L95"/>
    <mergeCell ref="K96:L96"/>
    <mergeCell ref="K98:L98"/>
    <mergeCell ref="B90:B93"/>
    <mergeCell ref="G100:H100"/>
    <mergeCell ref="B69:O69"/>
    <mergeCell ref="K97:L97"/>
    <mergeCell ref="I95:J95"/>
    <mergeCell ref="B95:B98"/>
    <mergeCell ref="K150:O150"/>
    <mergeCell ref="B150:E150"/>
    <mergeCell ref="F150:J150"/>
    <mergeCell ref="I145:O147"/>
    <mergeCell ref="B146:F146"/>
    <mergeCell ref="G146:H146"/>
    <mergeCell ref="B147:F147"/>
    <mergeCell ref="G147:H147"/>
    <mergeCell ref="B148:F148"/>
    <mergeCell ref="B149:P149"/>
    <mergeCell ref="B145:F145"/>
    <mergeCell ref="P144:P148"/>
    <mergeCell ref="G145:H145"/>
    <mergeCell ref="L148:O148"/>
    <mergeCell ref="K133:L133"/>
    <mergeCell ref="B107:I107"/>
    <mergeCell ref="B115:O115"/>
    <mergeCell ref="B128:O128"/>
    <mergeCell ref="P132:P142"/>
    <mergeCell ref="K142:O142"/>
    <mergeCell ref="G133:H133"/>
    <mergeCell ref="B140:F140"/>
    <mergeCell ref="B120:O120"/>
    <mergeCell ref="L124:M124"/>
    <mergeCell ref="M132:O141"/>
    <mergeCell ref="I132:L132"/>
    <mergeCell ref="P128:P130"/>
    <mergeCell ref="B142:J142"/>
    <mergeCell ref="B138:C139"/>
    <mergeCell ref="B132:H132"/>
    <mergeCell ref="N124:O124"/>
    <mergeCell ref="B116:O116"/>
    <mergeCell ref="P116:P123"/>
    <mergeCell ref="B126:P126"/>
    <mergeCell ref="B134:H134"/>
    <mergeCell ref="B137:H137"/>
    <mergeCell ref="I137:J137"/>
    <mergeCell ref="T4:T5"/>
    <mergeCell ref="S4:S5"/>
    <mergeCell ref="U4:U5"/>
    <mergeCell ref="V5:W5"/>
    <mergeCell ref="S23:AE23"/>
    <mergeCell ref="L159:N161"/>
    <mergeCell ref="K141:L141"/>
    <mergeCell ref="B144:O144"/>
    <mergeCell ref="I138:J138"/>
    <mergeCell ref="I140:J140"/>
    <mergeCell ref="I139:J139"/>
    <mergeCell ref="I141:J141"/>
    <mergeCell ref="B143:O143"/>
    <mergeCell ref="J105:K105"/>
    <mergeCell ref="B103:O103"/>
    <mergeCell ref="B127:P127"/>
    <mergeCell ref="P103:P108"/>
    <mergeCell ref="G141:H141"/>
    <mergeCell ref="G140:H140"/>
    <mergeCell ref="J106:K106"/>
    <mergeCell ref="B105:I105"/>
    <mergeCell ref="B135:C136"/>
    <mergeCell ref="B106:I106"/>
    <mergeCell ref="B129:O129"/>
    <mergeCell ref="E163:J166"/>
    <mergeCell ref="S117:AE117"/>
    <mergeCell ref="C156:N156"/>
    <mergeCell ref="AF22:AF23"/>
    <mergeCell ref="AG22:AG23"/>
    <mergeCell ref="AH22:AH23"/>
    <mergeCell ref="AI22:AI23"/>
    <mergeCell ref="AJ22:AJ23"/>
    <mergeCell ref="AK22:AK23"/>
    <mergeCell ref="B130:J130"/>
    <mergeCell ref="S69:AQ69"/>
    <mergeCell ref="M107:N107"/>
    <mergeCell ref="B124:K124"/>
    <mergeCell ref="B141:F141"/>
    <mergeCell ref="M105:N105"/>
    <mergeCell ref="B104:I104"/>
    <mergeCell ref="J107:K107"/>
    <mergeCell ref="B133:F133"/>
    <mergeCell ref="K130:O130"/>
    <mergeCell ref="I134:J134"/>
    <mergeCell ref="I136:J136"/>
    <mergeCell ref="I135:J135"/>
    <mergeCell ref="I133:J133"/>
    <mergeCell ref="B131:P131"/>
  </mergeCells>
  <phoneticPr fontId="0" type="noConversion"/>
  <dataValidations xWindow="815" yWindow="346"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$B$156:$B$217</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$B$156:$B$202</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$B$156:$B$232</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$B$156:$B$202</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$B$156:$B$237</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$B$156:$B$237</formula1>
    </dataValidation>
    <dataValidation type="list" showInputMessage="1" showErrorMessage="1" promptTitle="Range of Motion" prompt="Thoracic spine: Enter retained degrees of motion, flexion. If area was not affected by the injury, select &quot;NA&quot; or leave blank." sqref="J51:K51" xr:uid="{00000000-0002-0000-0E00-000006000000}">
      <formula1>$B$156:$B$207</formula1>
    </dataValidation>
    <dataValidation type="list" showInputMessage="1" showErrorMessage="1" promptTitle="Range of Motion" prompt="Thoracic spine: Enter retained degrees of motion, right rotation. If area was not affected by the injury, select &quot;NA&quot; or leave blank." sqref="J52:K52" xr:uid="{00000000-0002-0000-0E00-000007000000}">
      <formula1>$B$156:$B$187</formula1>
    </dataValidation>
    <dataValidation type="list" showInputMessage="1" showErrorMessage="1" promptTitle="Range of Motion" prompt="Thoracic spine: Enter retained degrees of motion, left rotation. If area was not affected by the injury, select &quot;NA&quot; or leave blank." sqref="J53:K53" xr:uid="{00000000-0002-0000-0E00-000008000000}">
      <formula1>$B$156:$B$187</formula1>
    </dataValidation>
    <dataValidation type="list" showInputMessage="1" showErrorMessage="1" promptTitle="Range of Motion" prompt="Lumbosacral spine: Enter retained degrees of motion, flexion. If area was not affected by the injury, select &quot;NA&quot; or leave blank." sqref="J104:K104" xr:uid="{00000000-0002-0000-0E00-000009000000}">
      <formula1>$B$156:$B$217</formula1>
    </dataValidation>
    <dataValidation type="list" showInputMessage="1" showErrorMessage="1" promptTitle="Range of Motion" prompt="Lumbosacral spine: Enter retained degrees of motion, extension. If area was not affected by the injury, select &quot;NA&quot; or leave blank." sqref="J105:K105" xr:uid="{00000000-0002-0000-0E00-00000A000000}">
      <formula1>$B$156:$B$182</formula1>
    </dataValidation>
    <dataValidation type="list" showInputMessage="1" showErrorMessage="1" promptTitle="Range of Motion" prompt="Lumbosacral spine: Enter retained degrees of motion, right lateral flexion. If area was not affected by the injury, select &quot;NA&quot; or leave blank." sqref="J106:K106" xr:uid="{00000000-0002-0000-0E00-00000B000000}">
      <formula1>$B$156:$B$182</formula1>
    </dataValidation>
    <dataValidation type="list" showInputMessage="1" showErrorMessage="1" promptTitle="Range of Motion" prompt="Lumbosacral spine: Enter retained degrees of motion, left lateral flexion. If area was not affected by the injury, select &quot;NA&quot; or leave blank." sqref="J107:K107" xr:uid="{00000000-0002-0000-0E00-00000C000000}">
      <formula1>$B$156:$B$182</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85 A130" xr:uid="{00000000-0002-0000-0E00-000011000000}">
      <formula1>S35</formula1>
    </dataValidation>
    <dataValidation allowBlank="1" showInputMessage="1" showErrorMessage="1" promptTitle="End of worksheet" prompt="Press TAB to return to top of sheet." sqref="P150" xr:uid="{00000000-0002-0000-0E00-000012000000}"/>
    <dataValidation type="list" allowBlank="1" showInputMessage="1" showErrorMessage="1" promptTitle="% of Compression" prompt="Select the percent of compression for each vertebral body. If the vertebra is uninjured, enter &quot;NA&quot; or leave blank." sqref="G14:G20 G56:G67 G110:G114" xr:uid="{1B6830DB-D057-4CDE-981B-15E4992E916F}">
      <formula1>$B$156:$B$257</formula1>
    </dataValidation>
    <dataValidation type="list" allowBlank="1" showInputMessage="1" showErrorMessage="1" promptTitle="Subsequent surgery" prompt="Select the number of additional procedures for each vertebra and disc." sqref="B28:N28 B76:N76 B79:M79 B122:M122" xr:uid="{00000000-0002-0000-0E00-00000E000000}">
      <formula1>$E$161:$J$161</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56:N67 N110:N114" xr:uid="{00000000-0002-0000-0E00-000014000000}">
      <formula1>$E$167:$F$167</formula1>
    </dataValidation>
    <dataValidation type="list" allowBlank="1" showInputMessage="1" showErrorMessage="1" promptTitle="Surgery" prompt="Place an &quot;X&quot; beneath all vertebrae and discs affected by the surgery." sqref="B24:N24 B71:N71 B73:M73 B118:M118" xr:uid="{99DE2BA9-F6B1-4429-94C0-8F58B46B47EC}">
      <formula1>$E$167:$F$167</formula1>
    </dataValidation>
    <dataValidation type="decimal" allowBlank="1" showInputMessage="1" showErrorMessage="1" promptTitle="Apportionment (if any)" prompt="Enter percentage of impairment caused by the injury or illness. See OAR 436-035-0013." sqref="I39:J39 I133:J133 I88:J88 I100:J100 I141:J141 I47:J47" xr:uid="{00000000-0002-0000-0E00-000013000000}">
      <formula1>$L$162</formula1>
      <formula2>$M$162</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50" location="'Hip-Left'!A1" display="Return to top of sheet" xr:uid="{00000000-0004-0000-0E00-000003000000}"/>
    <hyperlink ref="F150:J150" location="'PPD DOI before 2005'!A1" display="'PPD DOI before 2005'!A1" xr:uid="{00000000-0004-0000-0E00-000004000000}"/>
    <hyperlink ref="K150:O150" location="'PPD DOI on or after 2005'!A1" display="'PPD DOI on or after 2005'!A1" xr:uid="{00000000-0004-0000-0E00-000005000000}"/>
    <hyperlink ref="B150:E150"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4" manualBreakCount="4">
    <brk id="36" max="16383" man="1"/>
    <brk id="67" max="16383" man="1"/>
    <brk id="102" max="16383" man="1"/>
    <brk id="1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129</xdr:row>
                    <xdr:rowOff>0</xdr:rowOff>
                  </from>
                  <to>
                    <xdr:col>15</xdr:col>
                    <xdr:colOff>0</xdr:colOff>
                    <xdr:row>130</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129</xdr:row>
                    <xdr:rowOff>38100</xdr:rowOff>
                  </from>
                  <to>
                    <xdr:col>11</xdr:col>
                    <xdr:colOff>361950</xdr:colOff>
                    <xdr:row>129</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129</xdr:row>
                    <xdr:rowOff>38100</xdr:rowOff>
                  </from>
                  <to>
                    <xdr:col>13</xdr:col>
                    <xdr:colOff>342900</xdr:colOff>
                    <xdr:row>129</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84</xdr:row>
                    <xdr:rowOff>0</xdr:rowOff>
                  </from>
                  <to>
                    <xdr:col>15</xdr:col>
                    <xdr:colOff>0</xdr:colOff>
                    <xdr:row>85</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84</xdr:row>
                    <xdr:rowOff>38100</xdr:rowOff>
                  </from>
                  <to>
                    <xdr:col>11</xdr:col>
                    <xdr:colOff>361950</xdr:colOff>
                    <xdr:row>84</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84</xdr:row>
                    <xdr:rowOff>38100</xdr:rowOff>
                  </from>
                  <to>
                    <xdr:col>13</xdr:col>
                    <xdr:colOff>336550</xdr:colOff>
                    <xdr:row>84</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19"/>
  <sheetViews>
    <sheetView showGridLines="0" zoomScale="120" zoomScaleNormal="120" workbookViewId="0"/>
  </sheetViews>
  <sheetFormatPr defaultColWidth="1" defaultRowHeight="13" x14ac:dyDescent="0.3"/>
  <cols>
    <col min="1" max="1" width="1.453125" style="2" customWidth="1"/>
    <col min="2" max="2" width="22.7265625" style="2" customWidth="1"/>
    <col min="3" max="4" width="2.7265625" style="2" customWidth="1"/>
    <col min="5" max="14" width="3.81640625" style="2" customWidth="1"/>
    <col min="15" max="16" width="9.54296875" style="2" customWidth="1"/>
    <col min="17" max="17" width="2.26953125" style="2" customWidth="1"/>
    <col min="18" max="19" width="7.54296875" style="2" hidden="1" customWidth="1"/>
    <col min="20" max="20" width="6.81640625" style="2" hidden="1" customWidth="1"/>
    <col min="21" max="21" width="17.81640625" style="2" hidden="1" customWidth="1"/>
    <col min="22" max="22" width="6.1796875" style="2" hidden="1" customWidth="1"/>
    <col min="23" max="130" width="1" style="2" hidden="1" customWidth="1"/>
    <col min="131" max="255" width="1" style="2" customWidth="1"/>
    <col min="256" max="16384" width="1" style="2"/>
  </cols>
  <sheetData>
    <row r="1" spans="1:170" ht="15" customHeight="1" x14ac:dyDescent="0.3">
      <c r="A1" s="15"/>
      <c r="B1" s="10" t="s">
        <v>1732</v>
      </c>
      <c r="C1" s="747" t="str">
        <f>IF('Start here'!A6="","",'Start here'!A6)</f>
        <v/>
      </c>
      <c r="D1" s="751"/>
      <c r="E1" s="751"/>
      <c r="F1" s="751"/>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792"/>
      <c r="C2" s="792"/>
      <c r="D2" s="792"/>
      <c r="E2" s="792"/>
      <c r="F2" s="792"/>
      <c r="G2" s="792"/>
      <c r="H2" s="792"/>
      <c r="I2" s="792"/>
      <c r="J2" s="792"/>
      <c r="K2" s="792"/>
      <c r="L2" s="792"/>
      <c r="M2" s="792"/>
      <c r="N2" s="792"/>
      <c r="O2" s="792"/>
      <c r="P2" s="792"/>
    </row>
    <row r="3" spans="1:170" ht="24" customHeight="1" x14ac:dyDescent="0.4">
      <c r="B3" s="921" t="s">
        <v>1038</v>
      </c>
      <c r="C3" s="921"/>
      <c r="D3" s="921"/>
      <c r="E3" s="921"/>
      <c r="F3" s="921"/>
      <c r="G3" s="921"/>
      <c r="H3" s="921"/>
      <c r="I3" s="921"/>
      <c r="J3" s="921"/>
      <c r="K3" s="921"/>
      <c r="L3" s="921"/>
      <c r="M3" s="921"/>
      <c r="N3" s="921"/>
      <c r="O3" s="921"/>
      <c r="P3" s="921"/>
      <c r="R3" s="927" t="s">
        <v>2290</v>
      </c>
      <c r="S3" s="1156" t="s">
        <v>2291</v>
      </c>
    </row>
    <row r="4" spans="1:170" ht="18.75" customHeight="1" x14ac:dyDescent="0.3">
      <c r="B4" s="764" t="s">
        <v>109</v>
      </c>
      <c r="C4" s="765"/>
      <c r="D4" s="765"/>
      <c r="E4" s="765"/>
      <c r="F4" s="765"/>
      <c r="G4" s="765"/>
      <c r="H4" s="765"/>
      <c r="I4" s="765"/>
      <c r="J4" s="765"/>
      <c r="K4" s="765"/>
      <c r="L4" s="765"/>
      <c r="M4" s="765"/>
      <c r="N4" s="765"/>
      <c r="O4" s="765"/>
      <c r="P4" s="766"/>
      <c r="R4" s="927"/>
      <c r="S4" s="1178"/>
    </row>
    <row r="5" spans="1:170" ht="18" customHeight="1" x14ac:dyDescent="0.3">
      <c r="B5" s="767" t="s">
        <v>110</v>
      </c>
      <c r="C5" s="768"/>
      <c r="D5" s="768"/>
      <c r="E5" s="768"/>
      <c r="F5" s="768"/>
      <c r="G5" s="768"/>
      <c r="H5" s="768"/>
      <c r="I5" s="1622" t="s">
        <v>289</v>
      </c>
      <c r="J5" s="1622"/>
      <c r="K5" s="1622" t="s">
        <v>293</v>
      </c>
      <c r="L5" s="1622"/>
      <c r="M5" s="183"/>
      <c r="N5" s="183"/>
      <c r="O5" s="451"/>
      <c r="P5" s="456"/>
      <c r="R5" s="927"/>
      <c r="S5" s="1137"/>
      <c r="T5" s="13" t="s">
        <v>1304</v>
      </c>
      <c r="U5" s="13" t="s">
        <v>1305</v>
      </c>
      <c r="V5" s="13" t="s">
        <v>1306</v>
      </c>
    </row>
    <row r="6" spans="1:170" ht="18" customHeight="1" x14ac:dyDescent="0.3">
      <c r="B6" s="1625" t="s">
        <v>296</v>
      </c>
      <c r="C6" s="1023"/>
      <c r="D6" s="1023"/>
      <c r="E6" s="757" t="s">
        <v>1039</v>
      </c>
      <c r="F6" s="758"/>
      <c r="G6" s="758"/>
      <c r="H6" s="758"/>
      <c r="I6" s="758"/>
      <c r="J6" s="758"/>
      <c r="K6" s="758"/>
      <c r="L6" s="758"/>
      <c r="M6" s="758"/>
      <c r="N6" s="759"/>
      <c r="O6" s="21">
        <f>IF(S6=1,0.15,0)</f>
        <v>0</v>
      </c>
      <c r="P6" s="1628" t="str">
        <f>IF(S16=1,"Hemipelvec-tomy: The loss of the leg is determined under OAR 436-035-0140(1).","")</f>
        <v/>
      </c>
      <c r="R6" s="556" t="b">
        <v>0</v>
      </c>
      <c r="S6" s="146">
        <f t="shared" ref="S6:S15" si="0">IF(R6=TRUE,1,0)</f>
        <v>0</v>
      </c>
      <c r="T6" s="370">
        <f>LARGE($O$6:$O$16,1)</f>
        <v>0</v>
      </c>
      <c r="U6" s="408">
        <f>T6+T7*(1-T6)</f>
        <v>0</v>
      </c>
      <c r="V6" s="394">
        <f>ROUND(U6,2)</f>
        <v>0</v>
      </c>
    </row>
    <row r="7" spans="1:170" ht="18" customHeight="1" x14ac:dyDescent="0.3">
      <c r="B7" s="1626"/>
      <c r="C7" s="1023"/>
      <c r="D7" s="1023"/>
      <c r="E7" s="757" t="s">
        <v>1626</v>
      </c>
      <c r="F7" s="758"/>
      <c r="G7" s="758"/>
      <c r="H7" s="758"/>
      <c r="I7" s="758"/>
      <c r="J7" s="758"/>
      <c r="K7" s="758"/>
      <c r="L7" s="758"/>
      <c r="M7" s="758"/>
      <c r="N7" s="759"/>
      <c r="O7" s="21">
        <f>IF(S7=1,0.1,0)</f>
        <v>0</v>
      </c>
      <c r="P7" s="1629"/>
      <c r="R7" s="556" t="b">
        <v>0</v>
      </c>
      <c r="S7" s="146">
        <f t="shared" si="0"/>
        <v>0</v>
      </c>
      <c r="T7" s="370">
        <f>LARGE($O$6:$O$16,2)</f>
        <v>0</v>
      </c>
      <c r="U7" s="408">
        <f>V6+T8*(1-V6)</f>
        <v>0</v>
      </c>
      <c r="V7" s="394">
        <f>ROUND(U7,2)</f>
        <v>0</v>
      </c>
    </row>
    <row r="8" spans="1:170" ht="18" customHeight="1" x14ac:dyDescent="0.3">
      <c r="B8" s="1626"/>
      <c r="C8" s="1023"/>
      <c r="D8" s="1023"/>
      <c r="E8" s="757" t="s">
        <v>1627</v>
      </c>
      <c r="F8" s="758"/>
      <c r="G8" s="758"/>
      <c r="H8" s="758"/>
      <c r="I8" s="758"/>
      <c r="J8" s="758"/>
      <c r="K8" s="758"/>
      <c r="L8" s="758"/>
      <c r="M8" s="758"/>
      <c r="N8" s="759"/>
      <c r="O8" s="21">
        <f>IF(S8=1,0.1,0)</f>
        <v>0</v>
      </c>
      <c r="P8" s="1629"/>
      <c r="R8" s="556" t="b">
        <v>0</v>
      </c>
      <c r="S8" s="146">
        <f t="shared" si="0"/>
        <v>0</v>
      </c>
      <c r="T8" s="370">
        <f>LARGE($O$6:$O$16,3)</f>
        <v>0</v>
      </c>
      <c r="U8" s="408">
        <f t="shared" ref="U8:U15" si="1">V7+T9*(1-V7)</f>
        <v>0</v>
      </c>
      <c r="V8" s="394">
        <f t="shared" ref="V8:V15" si="2">ROUND(U8,2)</f>
        <v>0</v>
      </c>
    </row>
    <row r="9" spans="1:170" ht="18" customHeight="1" x14ac:dyDescent="0.3">
      <c r="B9" s="421"/>
      <c r="C9" s="1023"/>
      <c r="D9" s="1023"/>
      <c r="E9" s="757" t="s">
        <v>1628</v>
      </c>
      <c r="F9" s="758"/>
      <c r="G9" s="758"/>
      <c r="H9" s="758"/>
      <c r="I9" s="758"/>
      <c r="J9" s="758"/>
      <c r="K9" s="758"/>
      <c r="L9" s="758"/>
      <c r="M9" s="758"/>
      <c r="N9" s="759"/>
      <c r="O9" s="21">
        <f>IF(S9=1,0.1,0)</f>
        <v>0</v>
      </c>
      <c r="P9" s="1629"/>
      <c r="R9" s="556" t="b">
        <v>0</v>
      </c>
      <c r="S9" s="146">
        <f t="shared" si="0"/>
        <v>0</v>
      </c>
      <c r="T9" s="370">
        <f>LARGE($O$6:$O$16,4)</f>
        <v>0</v>
      </c>
      <c r="U9" s="408">
        <f t="shared" si="1"/>
        <v>0</v>
      </c>
      <c r="V9" s="394">
        <f t="shared" si="2"/>
        <v>0</v>
      </c>
    </row>
    <row r="10" spans="1:170" ht="18" customHeight="1" x14ac:dyDescent="0.3">
      <c r="B10" s="421"/>
      <c r="C10" s="1023"/>
      <c r="D10" s="1023"/>
      <c r="E10" s="757" t="s">
        <v>1629</v>
      </c>
      <c r="F10" s="758"/>
      <c r="G10" s="758"/>
      <c r="H10" s="758"/>
      <c r="I10" s="758"/>
      <c r="J10" s="758"/>
      <c r="K10" s="758"/>
      <c r="L10" s="758"/>
      <c r="M10" s="758"/>
      <c r="N10" s="759"/>
      <c r="O10" s="21">
        <f>IF(S10=1,0.05,0)</f>
        <v>0</v>
      </c>
      <c r="P10" s="1629"/>
      <c r="R10" s="556" t="b">
        <v>0</v>
      </c>
      <c r="S10" s="146">
        <f t="shared" si="0"/>
        <v>0</v>
      </c>
      <c r="T10" s="370">
        <f>LARGE($O$6:$O$16,5)</f>
        <v>0</v>
      </c>
      <c r="U10" s="408">
        <f t="shared" si="1"/>
        <v>0</v>
      </c>
      <c r="V10" s="394">
        <f t="shared" si="2"/>
        <v>0</v>
      </c>
    </row>
    <row r="11" spans="1:170" ht="18" customHeight="1" x14ac:dyDescent="0.3">
      <c r="B11" s="1623"/>
      <c r="C11" s="1023"/>
      <c r="D11" s="1023"/>
      <c r="E11" s="757" t="s">
        <v>2030</v>
      </c>
      <c r="F11" s="758"/>
      <c r="G11" s="758"/>
      <c r="H11" s="758"/>
      <c r="I11" s="758"/>
      <c r="J11" s="758"/>
      <c r="K11" s="758"/>
      <c r="L11" s="758"/>
      <c r="M11" s="758"/>
      <c r="N11" s="759"/>
      <c r="O11" s="21">
        <f>IF(S11=1,0.02,0)</f>
        <v>0</v>
      </c>
      <c r="P11" s="1629"/>
      <c r="R11" s="556" t="b">
        <v>0</v>
      </c>
      <c r="S11" s="146">
        <f t="shared" si="0"/>
        <v>0</v>
      </c>
      <c r="T11" s="370">
        <f>LARGE($O$6:$O$16,6)</f>
        <v>0</v>
      </c>
      <c r="U11" s="408">
        <f t="shared" si="1"/>
        <v>0</v>
      </c>
      <c r="V11" s="394">
        <f t="shared" si="2"/>
        <v>0</v>
      </c>
    </row>
    <row r="12" spans="1:170" ht="18" customHeight="1" x14ac:dyDescent="0.3">
      <c r="B12" s="1623"/>
      <c r="C12" s="1023"/>
      <c r="D12" s="1023"/>
      <c r="E12" s="757" t="s">
        <v>2028</v>
      </c>
      <c r="F12" s="758"/>
      <c r="G12" s="758"/>
      <c r="H12" s="758"/>
      <c r="I12" s="758"/>
      <c r="J12" s="758"/>
      <c r="K12" s="758"/>
      <c r="L12" s="758"/>
      <c r="M12" s="758"/>
      <c r="N12" s="759"/>
      <c r="O12" s="21">
        <f>IF(S12=1,0.02,0)</f>
        <v>0</v>
      </c>
      <c r="P12" s="1629"/>
      <c r="R12" s="556" t="b">
        <v>0</v>
      </c>
      <c r="S12" s="146">
        <f t="shared" si="0"/>
        <v>0</v>
      </c>
      <c r="T12" s="370">
        <f>LARGE($O$6:$O$16,7)</f>
        <v>0</v>
      </c>
      <c r="U12" s="408">
        <f t="shared" si="1"/>
        <v>0</v>
      </c>
      <c r="V12" s="394">
        <f t="shared" si="2"/>
        <v>0</v>
      </c>
    </row>
    <row r="13" spans="1:170" ht="18" customHeight="1" x14ac:dyDescent="0.3">
      <c r="B13" s="1623"/>
      <c r="C13" s="1083"/>
      <c r="D13" s="1022"/>
      <c r="E13" s="280" t="s">
        <v>2031</v>
      </c>
      <c r="F13" s="530"/>
      <c r="G13" s="530"/>
      <c r="H13" s="530"/>
      <c r="I13" s="530"/>
      <c r="J13" s="530"/>
      <c r="K13" s="530"/>
      <c r="L13" s="530"/>
      <c r="M13" s="530"/>
      <c r="N13" s="531"/>
      <c r="O13" s="21">
        <f>IF(S13=1,0.02,0)</f>
        <v>0</v>
      </c>
      <c r="P13" s="1629"/>
      <c r="R13" s="556" t="b">
        <v>0</v>
      </c>
      <c r="S13" s="146">
        <f t="shared" si="0"/>
        <v>0</v>
      </c>
      <c r="T13" s="370">
        <f>LARGE($O$6:$O$16,8)</f>
        <v>0</v>
      </c>
      <c r="U13" s="408">
        <f t="shared" si="1"/>
        <v>0</v>
      </c>
      <c r="V13" s="394">
        <f t="shared" si="2"/>
        <v>0</v>
      </c>
    </row>
    <row r="14" spans="1:170" ht="18" customHeight="1" x14ac:dyDescent="0.3">
      <c r="B14" s="1623"/>
      <c r="C14" s="1083"/>
      <c r="D14" s="1022"/>
      <c r="E14" s="280" t="s">
        <v>2029</v>
      </c>
      <c r="F14" s="530"/>
      <c r="G14" s="530"/>
      <c r="H14" s="530"/>
      <c r="I14" s="530"/>
      <c r="J14" s="530"/>
      <c r="K14" s="530"/>
      <c r="L14" s="530"/>
      <c r="M14" s="530"/>
      <c r="N14" s="531"/>
      <c r="O14" s="21">
        <f>IF(S14=1,0.02,0)</f>
        <v>0</v>
      </c>
      <c r="P14" s="1629"/>
      <c r="R14" s="556" t="b">
        <v>0</v>
      </c>
      <c r="S14" s="146">
        <f t="shared" si="0"/>
        <v>0</v>
      </c>
      <c r="T14" s="370">
        <f>LARGE($O$6:$O$16,9)</f>
        <v>0</v>
      </c>
      <c r="U14" s="408">
        <f t="shared" si="1"/>
        <v>0</v>
      </c>
      <c r="V14" s="394">
        <f t="shared" si="2"/>
        <v>0</v>
      </c>
    </row>
    <row r="15" spans="1:170" ht="18" customHeight="1" x14ac:dyDescent="0.3">
      <c r="B15" s="1624"/>
      <c r="C15" s="1023"/>
      <c r="D15" s="1023"/>
      <c r="E15" s="757" t="s">
        <v>1630</v>
      </c>
      <c r="F15" s="758"/>
      <c r="G15" s="758"/>
      <c r="H15" s="758"/>
      <c r="I15" s="758"/>
      <c r="J15" s="758"/>
      <c r="K15" s="758"/>
      <c r="L15" s="758"/>
      <c r="M15" s="758"/>
      <c r="N15" s="759"/>
      <c r="O15" s="21">
        <f>IF(S15=1,0.02,0)</f>
        <v>0</v>
      </c>
      <c r="P15" s="1629"/>
      <c r="R15" s="556" t="b">
        <v>0</v>
      </c>
      <c r="S15" s="146">
        <f t="shared" si="0"/>
        <v>0</v>
      </c>
      <c r="T15" s="370">
        <f>LARGE($O$6:$O$16,10)</f>
        <v>0</v>
      </c>
      <c r="U15" s="408">
        <f t="shared" si="1"/>
        <v>0</v>
      </c>
      <c r="V15" s="394">
        <f t="shared" si="2"/>
        <v>0</v>
      </c>
    </row>
    <row r="16" spans="1:170" ht="18" customHeight="1" x14ac:dyDescent="0.3">
      <c r="B16" s="270" t="s">
        <v>1211</v>
      </c>
      <c r="C16" s="1083"/>
      <c r="D16" s="1022"/>
      <c r="E16" s="758" t="s">
        <v>1211</v>
      </c>
      <c r="F16" s="758"/>
      <c r="G16" s="758"/>
      <c r="H16" s="758"/>
      <c r="I16" s="758"/>
      <c r="J16" s="758"/>
      <c r="K16" s="758"/>
      <c r="L16" s="758"/>
      <c r="M16" s="758"/>
      <c r="N16" s="758"/>
      <c r="O16" s="21">
        <f>IF(S16=1,0.25,0)</f>
        <v>0</v>
      </c>
      <c r="P16" s="1630"/>
      <c r="R16" s="556" t="b">
        <v>0</v>
      </c>
      <c r="S16" s="146">
        <f>IF(R16=TRUE,1,0)</f>
        <v>0</v>
      </c>
      <c r="T16" s="370">
        <f>LARGE($O$6:$O$16,11)</f>
        <v>0</v>
      </c>
    </row>
    <row r="17" spans="2:20" ht="18" customHeight="1" x14ac:dyDescent="0.3">
      <c r="B17" s="507"/>
      <c r="C17" s="504" t="s">
        <v>1212</v>
      </c>
      <c r="D17" s="505"/>
      <c r="E17" s="505"/>
      <c r="F17" s="505"/>
      <c r="G17" s="505"/>
      <c r="H17" s="505"/>
      <c r="I17" s="505"/>
      <c r="J17" s="505"/>
      <c r="K17" s="505"/>
      <c r="L17" s="505"/>
      <c r="M17" s="908" t="s">
        <v>1213</v>
      </c>
      <c r="N17" s="908"/>
      <c r="O17" s="909"/>
      <c r="P17" s="250">
        <f>V15</f>
        <v>0</v>
      </c>
      <c r="T17" s="151"/>
    </row>
    <row r="18" spans="2:20" ht="33" customHeight="1" x14ac:dyDescent="0.35">
      <c r="B18" s="1049" t="s">
        <v>947</v>
      </c>
      <c r="C18" s="1049"/>
      <c r="D18" s="1049"/>
      <c r="E18" s="1049"/>
      <c r="F18" s="1049"/>
      <c r="G18" s="1049"/>
      <c r="H18" s="1049"/>
      <c r="I18" s="1049"/>
      <c r="J18" s="1049"/>
      <c r="K18" s="1049"/>
      <c r="L18" s="1049"/>
      <c r="M18" s="1049"/>
      <c r="N18" s="1049"/>
      <c r="O18" s="1049"/>
      <c r="P18" s="1049"/>
    </row>
    <row r="19" spans="2:20" x14ac:dyDescent="0.3">
      <c r="B19" s="247" t="s">
        <v>790</v>
      </c>
      <c r="C19" s="1627" t="str">
        <f>IF(U1&lt;&gt;"",U1,"")</f>
        <v>Go to PPD Worksheet</v>
      </c>
      <c r="D19" s="1627"/>
      <c r="E19" s="1627"/>
      <c r="F19" s="1627"/>
      <c r="G19" s="1627"/>
      <c r="H19" s="1627"/>
      <c r="I19" s="1527" t="str">
        <f>IF(T1&lt;&gt;"",T1,"")</f>
        <v/>
      </c>
      <c r="J19" s="1527"/>
      <c r="K19" s="1527"/>
      <c r="L19" s="1527"/>
      <c r="M19" s="1527"/>
      <c r="N19" s="1527"/>
    </row>
  </sheetData>
  <sheetProtection sheet="1" objects="1" scenarios="1"/>
  <mergeCells count="37">
    <mergeCell ref="C19:H19"/>
    <mergeCell ref="I19:N19"/>
    <mergeCell ref="B18:P18"/>
    <mergeCell ref="M17:O17"/>
    <mergeCell ref="P6:P16"/>
    <mergeCell ref="C8:D8"/>
    <mergeCell ref="C6:D6"/>
    <mergeCell ref="E11:N11"/>
    <mergeCell ref="E16:N16"/>
    <mergeCell ref="C16:D16"/>
    <mergeCell ref="C12:D12"/>
    <mergeCell ref="E15:N15"/>
    <mergeCell ref="C15:D15"/>
    <mergeCell ref="E12:N12"/>
    <mergeCell ref="C1:J1"/>
    <mergeCell ref="L1:P1"/>
    <mergeCell ref="C11:D11"/>
    <mergeCell ref="E6:N6"/>
    <mergeCell ref="E7:N7"/>
    <mergeCell ref="B2:P2"/>
    <mergeCell ref="K5:L5"/>
    <mergeCell ref="B11:B15"/>
    <mergeCell ref="I5:J5"/>
    <mergeCell ref="E9:N9"/>
    <mergeCell ref="C14:D14"/>
    <mergeCell ref="C10:D10"/>
    <mergeCell ref="B3:P3"/>
    <mergeCell ref="B5:H5"/>
    <mergeCell ref="B6:B8"/>
    <mergeCell ref="E8:N8"/>
    <mergeCell ref="R3:R5"/>
    <mergeCell ref="S3:S5"/>
    <mergeCell ref="B4:P4"/>
    <mergeCell ref="C13:D13"/>
    <mergeCell ref="C7:D7"/>
    <mergeCell ref="E10:N10"/>
    <mergeCell ref="C9:D9"/>
  </mergeCells>
  <phoneticPr fontId="0" type="noConversion"/>
  <hyperlinks>
    <hyperlink ref="B19" location="Pelvis!A1" display="Return to top of sheet" xr:uid="{00000000-0004-0000-0F00-000000000000}"/>
    <hyperlink ref="I19:N19" location="'PPD DOI on or after 2005'!A1" display="'PPD DOI on or after 2005'!A1" xr:uid="{00000000-0004-0000-0F00-000001000000}"/>
    <hyperlink ref="C19:H19"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5</xdr:row>
                    <xdr:rowOff>0</xdr:rowOff>
                  </from>
                  <to>
                    <xdr:col>3</xdr:col>
                    <xdr:colOff>127000</xdr:colOff>
                    <xdr:row>5</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9</xdr:row>
                    <xdr:rowOff>0</xdr:rowOff>
                  </from>
                  <to>
                    <xdr:col>3</xdr:col>
                    <xdr:colOff>127000</xdr:colOff>
                    <xdr:row>10</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10</xdr:row>
                    <xdr:rowOff>12700</xdr:rowOff>
                  </from>
                  <to>
                    <xdr:col>3</xdr:col>
                    <xdr:colOff>127000</xdr:colOff>
                    <xdr:row>11</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14</xdr:row>
                    <xdr:rowOff>12700</xdr:rowOff>
                  </from>
                  <to>
                    <xdr:col>3</xdr:col>
                    <xdr:colOff>127000</xdr:colOff>
                    <xdr:row>15</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15</xdr:row>
                    <xdr:rowOff>19050</xdr:rowOff>
                  </from>
                  <to>
                    <xdr:col>3</xdr:col>
                    <xdr:colOff>127000</xdr:colOff>
                    <xdr:row>16</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12</xdr:row>
                    <xdr:rowOff>0</xdr:rowOff>
                  </from>
                  <to>
                    <xdr:col>3</xdr:col>
                    <xdr:colOff>127000</xdr:colOff>
                    <xdr:row>12</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13</xdr:row>
                    <xdr:rowOff>12700</xdr:rowOff>
                  </from>
                  <to>
                    <xdr:col>3</xdr:col>
                    <xdr:colOff>127000</xdr:colOff>
                    <xdr:row>14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 x14ac:dyDescent="0.3"/>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3">
      <c r="A1" s="15"/>
      <c r="B1" s="10" t="s">
        <v>1732</v>
      </c>
      <c r="C1" s="747" t="str">
        <f>IF('Start here'!A6="","",'Start here'!A6)</f>
        <v/>
      </c>
      <c r="D1" s="751"/>
      <c r="E1" s="751"/>
      <c r="F1" s="751"/>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92"/>
      <c r="C2" s="792"/>
      <c r="D2" s="792"/>
      <c r="E2" s="792"/>
      <c r="F2" s="792"/>
      <c r="G2" s="792"/>
      <c r="H2" s="792"/>
      <c r="I2" s="792"/>
      <c r="J2" s="792"/>
      <c r="K2" s="792"/>
      <c r="L2" s="792"/>
      <c r="M2" s="792"/>
      <c r="N2" s="792"/>
      <c r="O2" s="792"/>
      <c r="P2" s="792"/>
    </row>
    <row r="3" spans="1:170" ht="24" customHeight="1" x14ac:dyDescent="0.4">
      <c r="B3" s="920" t="s">
        <v>949</v>
      </c>
      <c r="C3" s="920"/>
      <c r="D3" s="920"/>
      <c r="E3" s="920"/>
      <c r="F3" s="920"/>
      <c r="G3" s="920"/>
      <c r="H3" s="920"/>
      <c r="I3" s="920"/>
      <c r="J3" s="920"/>
      <c r="K3" s="920"/>
      <c r="L3" s="920"/>
      <c r="M3" s="920"/>
      <c r="N3" s="920"/>
      <c r="O3" s="920"/>
      <c r="P3" s="920"/>
    </row>
    <row r="4" spans="1:170" ht="51" customHeight="1" x14ac:dyDescent="0.3">
      <c r="B4" s="1631"/>
      <c r="C4" s="772" t="s">
        <v>891</v>
      </c>
      <c r="D4" s="772"/>
      <c r="E4" s="772"/>
      <c r="F4" s="772"/>
      <c r="G4" s="772"/>
      <c r="H4" s="772"/>
      <c r="I4" s="772"/>
      <c r="J4" s="772"/>
      <c r="K4" s="772"/>
      <c r="L4" s="772"/>
      <c r="M4" s="772"/>
      <c r="N4" s="772"/>
      <c r="O4" s="772"/>
      <c r="P4" s="82">
        <f>IF(S4=2,0.05,0)</f>
        <v>0</v>
      </c>
      <c r="R4" s="146" t="s">
        <v>2296</v>
      </c>
      <c r="S4" s="556">
        <v>1</v>
      </c>
      <c r="T4" s="1"/>
      <c r="U4" s="1"/>
      <c r="V4" s="1"/>
    </row>
    <row r="5" spans="1:170" ht="39" customHeight="1" x14ac:dyDescent="0.3">
      <c r="B5" s="1632"/>
      <c r="C5" s="772" t="s">
        <v>892</v>
      </c>
      <c r="D5" s="772"/>
      <c r="E5" s="772"/>
      <c r="F5" s="772"/>
      <c r="G5" s="772"/>
      <c r="H5" s="772"/>
      <c r="I5" s="772"/>
      <c r="J5" s="772"/>
      <c r="K5" s="772"/>
      <c r="L5" s="772"/>
      <c r="M5" s="772"/>
      <c r="N5" s="772"/>
      <c r="O5" s="772"/>
      <c r="P5" s="82">
        <f>IF(S4=3,0.15,0)</f>
        <v>0</v>
      </c>
      <c r="T5" s="1"/>
      <c r="U5" s="1"/>
      <c r="V5" s="1"/>
    </row>
    <row r="6" spans="1:170" ht="26.25" customHeight="1" x14ac:dyDescent="0.3">
      <c r="B6" s="1415"/>
      <c r="C6" s="772" t="s">
        <v>893</v>
      </c>
      <c r="D6" s="772"/>
      <c r="E6" s="772"/>
      <c r="F6" s="772"/>
      <c r="G6" s="772"/>
      <c r="H6" s="772"/>
      <c r="I6" s="772"/>
      <c r="J6" s="772"/>
      <c r="K6" s="772"/>
      <c r="L6" s="772"/>
      <c r="M6" s="772"/>
      <c r="N6" s="772"/>
      <c r="O6" s="772"/>
      <c r="P6" s="82">
        <f>IF(S4=4,0.25,0)</f>
        <v>0</v>
      </c>
      <c r="T6" s="1"/>
      <c r="U6" s="1"/>
      <c r="V6" s="1"/>
    </row>
    <row r="7" spans="1:170" ht="21" customHeight="1" x14ac:dyDescent="0.3">
      <c r="B7" s="959" t="s">
        <v>1026</v>
      </c>
      <c r="C7" s="959"/>
      <c r="D7" s="959"/>
      <c r="E7" s="959"/>
      <c r="F7" s="959"/>
      <c r="G7" s="959"/>
      <c r="H7" s="959"/>
      <c r="I7" s="959"/>
      <c r="J7" s="959"/>
      <c r="K7" s="959"/>
      <c r="L7" s="959"/>
      <c r="M7" s="959"/>
      <c r="N7" s="959"/>
      <c r="O7" s="210"/>
      <c r="P7" s="506">
        <f>IF(O7="",SUM(P4:P6),ROUND(O7*SUM(P4:P6),2))</f>
        <v>0</v>
      </c>
      <c r="R7" s="15"/>
    </row>
    <row r="8" spans="1:170" ht="33" customHeight="1" x14ac:dyDescent="0.35">
      <c r="B8" s="1049" t="s">
        <v>947</v>
      </c>
      <c r="C8" s="1049"/>
      <c r="D8" s="1049"/>
      <c r="E8" s="1049"/>
      <c r="F8" s="1049"/>
      <c r="G8" s="1049"/>
      <c r="H8" s="1049"/>
      <c r="I8" s="1049"/>
      <c r="J8" s="1049"/>
      <c r="K8" s="1049"/>
      <c r="L8" s="1049"/>
      <c r="M8" s="1049"/>
      <c r="N8" s="1049"/>
      <c r="O8" s="1049"/>
      <c r="P8" s="1049"/>
    </row>
    <row r="9" spans="1:170" x14ac:dyDescent="0.3">
      <c r="C9" s="1336" t="str">
        <f>IF(U1&lt;&gt;"",U1,"")</f>
        <v>Go to PPD Worksheet</v>
      </c>
      <c r="D9" s="1336"/>
      <c r="E9" s="1336"/>
      <c r="F9" s="1336"/>
      <c r="G9" s="1336"/>
      <c r="H9" s="1336"/>
      <c r="I9" s="1527" t="str">
        <f>IF(T1&lt;&gt;"",T1,"")</f>
        <v/>
      </c>
      <c r="J9" s="1527"/>
      <c r="K9" s="1527"/>
      <c r="L9" s="1527"/>
      <c r="M9" s="1527"/>
      <c r="N9" s="1527"/>
    </row>
    <row r="10" spans="1:170" ht="12" customHeight="1" x14ac:dyDescent="0.3"/>
    <row r="11" spans="1:170" hidden="1" x14ac:dyDescent="0.3">
      <c r="B11" s="2">
        <v>0.01</v>
      </c>
      <c r="C11" s="2">
        <v>0.99</v>
      </c>
      <c r="D11" s="1"/>
      <c r="E11" s="1"/>
      <c r="F11" s="1"/>
      <c r="G11" s="1"/>
      <c r="H11" s="1"/>
      <c r="I11" s="1"/>
      <c r="J11" s="1"/>
      <c r="K11" s="1"/>
      <c r="L11" s="1"/>
      <c r="M11" s="1"/>
      <c r="N11" s="1"/>
      <c r="P11" s="429"/>
    </row>
    <row r="12" spans="1:170" x14ac:dyDescent="0.3">
      <c r="B12" s="1"/>
      <c r="C12" s="1"/>
      <c r="D12" s="1"/>
      <c r="E12" s="1"/>
      <c r="F12" s="1"/>
      <c r="G12" s="1"/>
      <c r="H12" s="1"/>
      <c r="I12" s="1"/>
      <c r="J12" s="1"/>
      <c r="K12" s="1"/>
      <c r="L12" s="1"/>
      <c r="M12" s="1"/>
      <c r="N12" s="1"/>
    </row>
    <row r="13" spans="1:170" x14ac:dyDescent="0.3">
      <c r="B13" s="1"/>
      <c r="C13" s="1"/>
      <c r="D13" s="1"/>
      <c r="E13" s="1"/>
      <c r="F13" s="1"/>
      <c r="G13" s="1"/>
      <c r="H13" s="1"/>
      <c r="I13" s="1"/>
      <c r="J13" s="1"/>
      <c r="K13" s="1"/>
      <c r="L13" s="1"/>
      <c r="M13" s="1"/>
      <c r="N13" s="1"/>
    </row>
    <row r="14" spans="1:170" x14ac:dyDescent="0.3">
      <c r="B14" s="1"/>
      <c r="C14" s="1"/>
      <c r="D14" s="1"/>
      <c r="E14" s="1"/>
      <c r="F14" s="1"/>
      <c r="G14" s="1"/>
      <c r="H14" s="1"/>
      <c r="I14" s="1"/>
      <c r="J14" s="1"/>
      <c r="K14" s="1"/>
      <c r="L14" s="1"/>
      <c r="M14" s="1"/>
      <c r="N14" s="1"/>
    </row>
    <row r="15" spans="1:170" x14ac:dyDescent="0.3">
      <c r="B15" s="1"/>
      <c r="C15" s="1"/>
      <c r="D15" s="1"/>
      <c r="E15" s="1"/>
      <c r="F15" s="1"/>
      <c r="G15" s="1"/>
      <c r="H15" s="1"/>
      <c r="I15" s="1"/>
      <c r="J15" s="1"/>
      <c r="K15" s="1"/>
      <c r="L15" s="1"/>
      <c r="M15" s="1"/>
      <c r="N15" s="1"/>
    </row>
    <row r="16" spans="1:170" x14ac:dyDescent="0.3">
      <c r="B16" s="1"/>
      <c r="C16" s="1"/>
      <c r="D16" s="1"/>
      <c r="E16" s="1"/>
      <c r="F16" s="1"/>
      <c r="G16" s="1"/>
      <c r="H16" s="1"/>
      <c r="I16" s="1"/>
      <c r="J16" s="1"/>
      <c r="K16" s="1"/>
      <c r="L16" s="1"/>
      <c r="M16" s="1"/>
      <c r="N16" s="1"/>
    </row>
    <row r="17" spans="2:14" x14ac:dyDescent="0.3">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 x14ac:dyDescent="0.3"/>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3">
      <c r="A1" s="15"/>
      <c r="B1" s="10" t="s">
        <v>1732</v>
      </c>
      <c r="C1" s="747" t="str">
        <f>IF('Start here'!A6="","",'Start here'!A6)</f>
        <v/>
      </c>
      <c r="D1" s="751"/>
      <c r="E1" s="751"/>
      <c r="F1" s="751"/>
      <c r="G1" s="751"/>
      <c r="H1" s="751"/>
      <c r="I1" s="751"/>
      <c r="J1" s="752"/>
      <c r="K1" s="1"/>
      <c r="L1" s="747" t="str">
        <f>IF('Start here'!A7="","",'Start here'!A7)</f>
        <v/>
      </c>
      <c r="M1" s="751"/>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92"/>
      <c r="C2" s="792"/>
      <c r="D2" s="792"/>
      <c r="E2" s="792"/>
      <c r="F2" s="792"/>
      <c r="G2" s="792"/>
      <c r="H2" s="792"/>
      <c r="I2" s="792"/>
      <c r="J2" s="792"/>
      <c r="K2" s="792"/>
      <c r="L2" s="792"/>
      <c r="M2" s="792"/>
      <c r="N2" s="792"/>
      <c r="O2" s="792"/>
      <c r="P2" s="792"/>
    </row>
    <row r="3" spans="1:170" ht="24" customHeight="1" x14ac:dyDescent="0.4">
      <c r="B3" s="920" t="s">
        <v>565</v>
      </c>
      <c r="C3" s="920"/>
      <c r="D3" s="920"/>
      <c r="E3" s="920"/>
      <c r="F3" s="920"/>
      <c r="G3" s="920"/>
      <c r="H3" s="920"/>
      <c r="I3" s="920"/>
      <c r="J3" s="920"/>
      <c r="K3" s="920"/>
      <c r="L3" s="920"/>
      <c r="M3" s="920"/>
      <c r="N3" s="920"/>
      <c r="O3" s="920"/>
      <c r="P3" s="920"/>
    </row>
    <row r="4" spans="1:170" ht="38.25" customHeight="1" x14ac:dyDescent="0.3">
      <c r="B4" s="776" t="s">
        <v>566</v>
      </c>
      <c r="C4" s="776"/>
      <c r="D4" s="776"/>
      <c r="E4" s="776"/>
      <c r="F4" s="776"/>
      <c r="G4" s="776"/>
      <c r="H4" s="776"/>
      <c r="I4" s="776"/>
      <c r="J4" s="776"/>
      <c r="K4" s="776"/>
      <c r="L4" s="776"/>
      <c r="M4" s="776"/>
      <c r="N4" s="776"/>
      <c r="O4" s="776"/>
      <c r="P4" s="503"/>
      <c r="R4" s="259" t="s">
        <v>2299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3">
      <c r="A5" s="15"/>
      <c r="B5" s="959" t="s">
        <v>948</v>
      </c>
      <c r="C5" s="959"/>
      <c r="D5" s="959"/>
      <c r="E5" s="959"/>
      <c r="F5" s="959"/>
      <c r="G5" s="959"/>
      <c r="H5" s="959"/>
      <c r="I5" s="959"/>
      <c r="J5" s="959"/>
      <c r="K5" s="959"/>
      <c r="L5" s="1023"/>
      <c r="M5" s="1023"/>
      <c r="N5" s="1023"/>
      <c r="O5" s="1023"/>
      <c r="P5" s="1633">
        <f>IF(AND(P10&gt;0,P10&lt;0.01),0.01,ROUND(P10,2))</f>
        <v>0</v>
      </c>
      <c r="R5" s="556">
        <v>2</v>
      </c>
    </row>
    <row r="6" spans="1:170" ht="21" customHeight="1" x14ac:dyDescent="0.3">
      <c r="B6" s="959" t="s">
        <v>1026</v>
      </c>
      <c r="C6" s="959"/>
      <c r="D6" s="959"/>
      <c r="E6" s="959"/>
      <c r="F6" s="959"/>
      <c r="G6" s="959"/>
      <c r="H6" s="959"/>
      <c r="I6" s="959"/>
      <c r="J6" s="959"/>
      <c r="K6" s="959"/>
      <c r="L6" s="959"/>
      <c r="M6" s="959"/>
      <c r="N6" s="959"/>
      <c r="O6" s="210"/>
      <c r="P6" s="1633"/>
      <c r="R6" s="15"/>
    </row>
    <row r="7" spans="1:170" ht="33" customHeight="1" x14ac:dyDescent="0.35">
      <c r="B7" s="1049" t="s">
        <v>947</v>
      </c>
      <c r="C7" s="1049"/>
      <c r="D7" s="1049"/>
      <c r="E7" s="1049"/>
      <c r="F7" s="1049"/>
      <c r="G7" s="1049"/>
      <c r="H7" s="1049"/>
      <c r="I7" s="1049"/>
      <c r="J7" s="1049"/>
      <c r="K7" s="1049"/>
      <c r="L7" s="1049"/>
      <c r="M7" s="1049"/>
      <c r="N7" s="1049"/>
      <c r="O7" s="1049"/>
      <c r="P7" s="1049"/>
    </row>
    <row r="8" spans="1:170" x14ac:dyDescent="0.3">
      <c r="C8" s="1336" t="str">
        <f>IF(U1&lt;&gt;"",U1,"")</f>
        <v>Go to PPD Worksheet</v>
      </c>
      <c r="D8" s="1336"/>
      <c r="E8" s="1336"/>
      <c r="F8" s="1336"/>
      <c r="G8" s="1336"/>
      <c r="H8" s="1336"/>
      <c r="I8" s="1527" t="str">
        <f>IF(T1&lt;&gt;"",T1,"")</f>
        <v/>
      </c>
      <c r="J8" s="1527"/>
      <c r="K8" s="1527"/>
      <c r="L8" s="1527"/>
      <c r="M8" s="1527"/>
      <c r="N8" s="1527"/>
    </row>
    <row r="9" spans="1:170" ht="12" customHeight="1" x14ac:dyDescent="0.3"/>
    <row r="10" spans="1:170" hidden="1" x14ac:dyDescent="0.3">
      <c r="B10" s="2">
        <v>0.01</v>
      </c>
      <c r="C10" s="2">
        <v>0.99</v>
      </c>
      <c r="D10" s="1"/>
      <c r="E10" s="1"/>
      <c r="F10" s="1"/>
      <c r="G10" s="1"/>
      <c r="H10" s="1"/>
      <c r="I10" s="1"/>
      <c r="J10" s="1"/>
      <c r="K10" s="1"/>
      <c r="L10" s="1"/>
      <c r="M10" s="1"/>
      <c r="N10" s="1"/>
      <c r="P10" s="429">
        <f>IF(AND(O6&lt;&gt;"",R5=1),O6*0.05,IF(R5=1,0.05,0))</f>
        <v>0</v>
      </c>
    </row>
    <row r="11" spans="1:170" x14ac:dyDescent="0.3">
      <c r="B11" s="1"/>
      <c r="C11" s="1"/>
      <c r="D11" s="1"/>
      <c r="E11" s="1"/>
      <c r="F11" s="1"/>
      <c r="G11" s="1"/>
      <c r="H11" s="1"/>
      <c r="I11" s="1"/>
      <c r="J11" s="1"/>
      <c r="K11" s="1"/>
      <c r="L11" s="1"/>
      <c r="M11" s="1"/>
      <c r="N11" s="1"/>
    </row>
    <row r="12" spans="1:170" x14ac:dyDescent="0.3">
      <c r="B12" s="1"/>
      <c r="C12" s="1"/>
      <c r="D12" s="1"/>
      <c r="E12" s="1"/>
      <c r="F12" s="1"/>
      <c r="G12" s="1"/>
      <c r="H12" s="1"/>
      <c r="I12" s="1"/>
      <c r="J12" s="1"/>
      <c r="K12" s="1"/>
      <c r="L12" s="1"/>
      <c r="M12" s="1"/>
      <c r="N12" s="1"/>
    </row>
    <row r="13" spans="1:170" x14ac:dyDescent="0.3">
      <c r="B13" s="1"/>
      <c r="C13" s="1"/>
      <c r="D13" s="1"/>
      <c r="E13" s="1"/>
      <c r="F13" s="1"/>
      <c r="G13" s="1"/>
      <c r="H13" s="1"/>
      <c r="I13" s="1"/>
      <c r="J13" s="1"/>
      <c r="K13" s="1"/>
      <c r="L13" s="1"/>
      <c r="M13" s="1"/>
      <c r="N13" s="1"/>
    </row>
    <row r="14" spans="1:170" x14ac:dyDescent="0.3">
      <c r="B14" s="1"/>
      <c r="C14" s="1"/>
      <c r="D14" s="1"/>
      <c r="E14" s="1"/>
      <c r="F14" s="1"/>
      <c r="G14" s="1"/>
      <c r="H14" s="1"/>
      <c r="I14" s="1"/>
      <c r="J14" s="1"/>
      <c r="K14" s="1"/>
      <c r="L14" s="1"/>
      <c r="M14" s="1"/>
      <c r="N14" s="1"/>
    </row>
    <row r="15" spans="1:170" x14ac:dyDescent="0.3">
      <c r="B15" s="1"/>
      <c r="C15" s="1"/>
      <c r="D15" s="1"/>
      <c r="E15" s="1"/>
      <c r="F15" s="1"/>
      <c r="G15" s="1"/>
      <c r="H15" s="1"/>
      <c r="I15" s="1"/>
      <c r="J15" s="1"/>
      <c r="K15" s="1"/>
      <c r="L15" s="1"/>
      <c r="M15" s="1"/>
      <c r="N15" s="1"/>
    </row>
    <row r="16" spans="1:170" x14ac:dyDescent="0.3">
      <c r="B16" s="1"/>
      <c r="C16" s="1"/>
      <c r="D16" s="1"/>
      <c r="E16" s="1"/>
      <c r="F16" s="1"/>
      <c r="G16" s="1"/>
      <c r="H16" s="1"/>
      <c r="I16" s="1"/>
      <c r="J16" s="1"/>
      <c r="K16" s="1"/>
      <c r="L16" s="1"/>
      <c r="M16" s="1"/>
      <c r="N16" s="1"/>
    </row>
  </sheetData>
  <sheetProtection sheet="1" objects="1" scenarios="1"/>
  <mergeCells count="12">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234950</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234950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 x14ac:dyDescent="0.3"/>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3">
      <c r="B1" s="10" t="s">
        <v>1732</v>
      </c>
      <c r="D1" s="747" t="str">
        <f>IF('Start here'!A6="","",'Start here'!A6)</f>
        <v/>
      </c>
      <c r="E1" s="751"/>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792"/>
      <c r="C2" s="792"/>
      <c r="D2" s="792"/>
      <c r="E2" s="792"/>
      <c r="F2" s="792"/>
      <c r="G2" s="792"/>
      <c r="H2" s="792"/>
      <c r="I2" s="792"/>
      <c r="J2" s="792"/>
      <c r="K2" s="792"/>
      <c r="L2" s="792"/>
      <c r="M2" s="792"/>
      <c r="N2" s="792"/>
      <c r="O2" s="792"/>
      <c r="P2" s="792"/>
    </row>
    <row r="3" spans="1:170" ht="24" customHeight="1" x14ac:dyDescent="0.4">
      <c r="B3" s="920" t="s">
        <v>1283</v>
      </c>
      <c r="C3" s="920"/>
      <c r="D3" s="920"/>
      <c r="E3" s="920"/>
      <c r="F3" s="920"/>
      <c r="G3" s="920"/>
      <c r="H3" s="920"/>
      <c r="I3" s="920"/>
      <c r="J3" s="920"/>
      <c r="K3" s="920"/>
      <c r="L3" s="920"/>
      <c r="M3" s="920"/>
      <c r="N3" s="920"/>
      <c r="O3" s="920"/>
      <c r="P3" s="920"/>
    </row>
    <row r="4" spans="1:170" ht="27" customHeight="1" x14ac:dyDescent="0.4">
      <c r="B4" s="430"/>
      <c r="C4" s="879" t="s">
        <v>1818</v>
      </c>
      <c r="D4" s="880"/>
      <c r="E4" s="880"/>
      <c r="F4" s="880"/>
      <c r="G4" s="880"/>
      <c r="H4" s="880"/>
      <c r="I4" s="880"/>
      <c r="J4" s="880"/>
      <c r="K4" s="880"/>
      <c r="L4" s="881"/>
      <c r="M4" s="922" t="s">
        <v>1524</v>
      </c>
      <c r="N4" s="926"/>
      <c r="O4" s="923"/>
      <c r="P4" s="430"/>
      <c r="S4" s="128" t="s">
        <v>2299</v>
      </c>
      <c r="T4" s="13" t="s">
        <v>1304</v>
      </c>
      <c r="U4" s="13" t="s">
        <v>1305</v>
      </c>
      <c r="V4" s="13" t="s">
        <v>1306</v>
      </c>
      <c r="W4" s="19" t="s">
        <v>1025</v>
      </c>
    </row>
    <row r="5" spans="1:170" ht="21" customHeight="1" x14ac:dyDescent="0.3">
      <c r="B5" s="270" t="s">
        <v>1071</v>
      </c>
      <c r="C5" s="1635"/>
      <c r="D5" s="1636"/>
      <c r="E5" s="1636"/>
      <c r="F5" s="1636"/>
      <c r="G5" s="1636"/>
      <c r="H5" s="1636"/>
      <c r="I5" s="1636"/>
      <c r="J5" s="1636"/>
      <c r="K5" s="1636"/>
      <c r="L5" s="1637"/>
      <c r="M5" s="753">
        <f t="shared" ref="M5:M10" si="0">IF(S5=2,0.05,IF(S5=3,0.2,IF(S5=4,0.4,IF(S5=5,0.78,0))))</f>
        <v>0</v>
      </c>
      <c r="N5" s="755"/>
      <c r="O5" s="212"/>
      <c r="P5" s="21">
        <f t="shared" ref="P5:P10" si="1">IF(AND(W5&gt;0,W5&lt;0.01),0.01,ROUND(W5,2))</f>
        <v>0</v>
      </c>
      <c r="S5" s="556">
        <v>1</v>
      </c>
      <c r="T5" s="370">
        <f>LARGE($P$5:$P$11,1)</f>
        <v>0</v>
      </c>
      <c r="U5" s="408">
        <f>T5+T6*(1-T5)</f>
        <v>0</v>
      </c>
      <c r="V5" s="394">
        <f t="shared" ref="V5:V10" si="2">ROUND(U5,2)</f>
        <v>0</v>
      </c>
      <c r="W5" s="370">
        <f t="shared" ref="W5:W10" si="3">IF(O5&gt;0,O5*M5,M5)</f>
        <v>0</v>
      </c>
    </row>
    <row r="6" spans="1:170" ht="21" customHeight="1" x14ac:dyDescent="0.3">
      <c r="B6" s="270" t="s">
        <v>1072</v>
      </c>
      <c r="C6" s="1635"/>
      <c r="D6" s="1636"/>
      <c r="E6" s="1636"/>
      <c r="F6" s="1636"/>
      <c r="G6" s="1636"/>
      <c r="H6" s="1636"/>
      <c r="I6" s="1636"/>
      <c r="J6" s="1636"/>
      <c r="K6" s="1636"/>
      <c r="L6" s="1637"/>
      <c r="M6" s="753">
        <f t="shared" si="0"/>
        <v>0</v>
      </c>
      <c r="N6" s="755"/>
      <c r="O6" s="211"/>
      <c r="P6" s="21">
        <f t="shared" si="1"/>
        <v>0</v>
      </c>
      <c r="S6" s="556">
        <v>1</v>
      </c>
      <c r="T6" s="370">
        <f>LARGE($P$5:$P$11,2)</f>
        <v>0</v>
      </c>
      <c r="U6" s="408">
        <f>V5+T7*(1-V5)</f>
        <v>0</v>
      </c>
      <c r="V6" s="394">
        <f t="shared" si="2"/>
        <v>0</v>
      </c>
      <c r="W6" s="370">
        <f t="shared" si="3"/>
        <v>0</v>
      </c>
    </row>
    <row r="7" spans="1:170" ht="27" customHeight="1" x14ac:dyDescent="0.3">
      <c r="B7" s="270" t="s">
        <v>1073</v>
      </c>
      <c r="C7" s="1635"/>
      <c r="D7" s="1636"/>
      <c r="E7" s="1636"/>
      <c r="F7" s="1636"/>
      <c r="G7" s="1636"/>
      <c r="H7" s="1636"/>
      <c r="I7" s="1636"/>
      <c r="J7" s="1636"/>
      <c r="K7" s="1636"/>
      <c r="L7" s="1637"/>
      <c r="M7" s="753">
        <f t="shared" si="0"/>
        <v>0</v>
      </c>
      <c r="N7" s="755"/>
      <c r="O7" s="211"/>
      <c r="P7" s="21">
        <f t="shared" si="1"/>
        <v>0</v>
      </c>
      <c r="S7" s="556">
        <v>1</v>
      </c>
      <c r="T7" s="370">
        <f>LARGE($P$5:$P$11,3)</f>
        <v>0</v>
      </c>
      <c r="U7" s="408">
        <f>V6+T8*(1-V6)</f>
        <v>0</v>
      </c>
      <c r="V7" s="394">
        <f t="shared" si="2"/>
        <v>0</v>
      </c>
      <c r="W7" s="370">
        <f t="shared" si="3"/>
        <v>0</v>
      </c>
    </row>
    <row r="8" spans="1:170" ht="21" customHeight="1" x14ac:dyDescent="0.3">
      <c r="B8" s="270" t="s">
        <v>1074</v>
      </c>
      <c r="C8" s="1635"/>
      <c r="D8" s="1636"/>
      <c r="E8" s="1636"/>
      <c r="F8" s="1636"/>
      <c r="G8" s="1636"/>
      <c r="H8" s="1636"/>
      <c r="I8" s="1636"/>
      <c r="J8" s="1636"/>
      <c r="K8" s="1636"/>
      <c r="L8" s="1637"/>
      <c r="M8" s="753">
        <f t="shared" si="0"/>
        <v>0</v>
      </c>
      <c r="N8" s="755"/>
      <c r="O8" s="211"/>
      <c r="P8" s="21">
        <f t="shared" si="1"/>
        <v>0</v>
      </c>
      <c r="S8" s="556">
        <v>1</v>
      </c>
      <c r="T8" s="370">
        <f>LARGE($P$5:$P$11,4)</f>
        <v>0</v>
      </c>
      <c r="U8" s="408">
        <f>V7+T9*(1-V7)</f>
        <v>0</v>
      </c>
      <c r="V8" s="394">
        <f t="shared" si="2"/>
        <v>0</v>
      </c>
      <c r="W8" s="370">
        <f t="shared" si="3"/>
        <v>0</v>
      </c>
    </row>
    <row r="9" spans="1:170" ht="21" customHeight="1" x14ac:dyDescent="0.3">
      <c r="B9" s="270" t="s">
        <v>1047</v>
      </c>
      <c r="C9" s="1635"/>
      <c r="D9" s="1636"/>
      <c r="E9" s="1636"/>
      <c r="F9" s="1636"/>
      <c r="G9" s="1636"/>
      <c r="H9" s="1636"/>
      <c r="I9" s="1636"/>
      <c r="J9" s="1636"/>
      <c r="K9" s="1636"/>
      <c r="L9" s="1637"/>
      <c r="M9" s="936">
        <f t="shared" si="0"/>
        <v>0</v>
      </c>
      <c r="N9" s="936"/>
      <c r="O9" s="210"/>
      <c r="P9" s="21">
        <f t="shared" si="1"/>
        <v>0</v>
      </c>
      <c r="S9" s="556">
        <v>1</v>
      </c>
      <c r="T9" s="370">
        <f>LARGE($P$5:$P$11,5)</f>
        <v>0</v>
      </c>
      <c r="U9" s="408">
        <f>V8+T10*(1-V8)</f>
        <v>0</v>
      </c>
      <c r="V9" s="394">
        <f t="shared" si="2"/>
        <v>0</v>
      </c>
      <c r="W9" s="370">
        <f t="shared" si="3"/>
        <v>0</v>
      </c>
    </row>
    <row r="10" spans="1:170" ht="21" customHeight="1" x14ac:dyDescent="0.3">
      <c r="B10" s="270" t="s">
        <v>1048</v>
      </c>
      <c r="C10" s="1635"/>
      <c r="D10" s="1636"/>
      <c r="E10" s="1636"/>
      <c r="F10" s="1636"/>
      <c r="G10" s="1636"/>
      <c r="H10" s="1636"/>
      <c r="I10" s="1636"/>
      <c r="J10" s="1636"/>
      <c r="K10" s="1636"/>
      <c r="L10" s="1637"/>
      <c r="M10" s="936">
        <f t="shared" si="0"/>
        <v>0</v>
      </c>
      <c r="N10" s="936"/>
      <c r="O10" s="210"/>
      <c r="P10" s="21">
        <f t="shared" si="1"/>
        <v>0</v>
      </c>
      <c r="S10" s="556">
        <v>1</v>
      </c>
      <c r="T10" s="370">
        <f>LARGE($P$5:$P$11,6)</f>
        <v>0</v>
      </c>
      <c r="U10" s="408">
        <f>V9+T11*(1-V9)</f>
        <v>0</v>
      </c>
      <c r="V10" s="394">
        <f t="shared" si="2"/>
        <v>0</v>
      </c>
      <c r="W10" s="370">
        <f t="shared" si="3"/>
        <v>0</v>
      </c>
    </row>
    <row r="11" spans="1:170" ht="21" customHeight="1" x14ac:dyDescent="0.3">
      <c r="B11" s="270" t="s">
        <v>1049</v>
      </c>
      <c r="C11" s="264"/>
      <c r="D11" s="265"/>
      <c r="E11" s="265"/>
      <c r="F11" s="265"/>
      <c r="G11" s="265"/>
      <c r="H11" s="265"/>
      <c r="I11" s="265"/>
      <c r="J11" s="265"/>
      <c r="K11" s="265"/>
      <c r="L11" s="265"/>
      <c r="M11" s="940"/>
      <c r="N11" s="942"/>
      <c r="O11" s="18" t="s">
        <v>1941</v>
      </c>
      <c r="P11" s="21">
        <f>IF(S11=1,0.5,0)</f>
        <v>0</v>
      </c>
      <c r="S11" s="556">
        <v>2</v>
      </c>
      <c r="T11" s="370">
        <f>LARGE($P$5:$P$11,7)</f>
        <v>0</v>
      </c>
      <c r="W11" s="151"/>
    </row>
    <row r="12" spans="1:170" ht="21" customHeight="1" x14ac:dyDescent="0.3">
      <c r="B12" s="28"/>
      <c r="C12" s="1401" t="s">
        <v>1050</v>
      </c>
      <c r="D12" s="1402"/>
      <c r="E12" s="1402"/>
      <c r="F12" s="1402"/>
      <c r="G12" s="1402"/>
      <c r="H12" s="1402"/>
      <c r="I12" s="1402"/>
      <c r="J12" s="1402"/>
      <c r="K12" s="1402"/>
      <c r="L12" s="1402"/>
      <c r="M12" s="1402"/>
      <c r="N12" s="1402"/>
      <c r="O12" s="1403"/>
      <c r="P12" s="274">
        <f>V10</f>
        <v>0</v>
      </c>
    </row>
    <row r="13" spans="1:170" ht="33.75" customHeight="1" x14ac:dyDescent="0.35">
      <c r="B13" s="1049" t="s">
        <v>947</v>
      </c>
      <c r="C13" s="1049"/>
      <c r="D13" s="1049"/>
      <c r="E13" s="1049"/>
      <c r="F13" s="1049"/>
      <c r="G13" s="1049"/>
      <c r="H13" s="1049"/>
      <c r="I13" s="1049"/>
      <c r="J13" s="1049"/>
      <c r="K13" s="1049"/>
      <c r="L13" s="1049"/>
      <c r="M13" s="1049"/>
      <c r="N13" s="1049"/>
      <c r="O13" s="1049"/>
      <c r="P13" s="1049"/>
    </row>
    <row r="14" spans="1:170" x14ac:dyDescent="0.3">
      <c r="A14" s="15"/>
      <c r="C14" s="1638"/>
      <c r="D14" s="1638"/>
      <c r="E14" s="1638"/>
      <c r="F14" s="1638"/>
      <c r="G14" s="1638"/>
    </row>
    <row r="15" spans="1:170" x14ac:dyDescent="0.3">
      <c r="B15" s="2" t="s">
        <v>2046</v>
      </c>
      <c r="C15" s="1638"/>
      <c r="D15" s="1638"/>
      <c r="E15" s="1638"/>
      <c r="F15" s="1638"/>
      <c r="G15" s="1638"/>
      <c r="I15" s="1588" t="str">
        <f>IF(U1&lt;&gt;"",U1,"")</f>
        <v>Go to PPD Worksheet</v>
      </c>
      <c r="J15" s="1588"/>
      <c r="K15" s="1588"/>
      <c r="L15" s="1588"/>
      <c r="M15" s="1588"/>
      <c r="N15" s="1588"/>
    </row>
    <row r="16" spans="1:170" x14ac:dyDescent="0.3">
      <c r="B16" s="2" t="s">
        <v>2048</v>
      </c>
      <c r="C16" s="1638"/>
      <c r="D16" s="1638"/>
      <c r="E16" s="1638"/>
      <c r="F16" s="1638"/>
      <c r="G16" s="1638"/>
      <c r="I16" s="1588"/>
      <c r="J16" s="1588"/>
      <c r="K16" s="1588"/>
      <c r="L16" s="1588"/>
      <c r="M16" s="1588"/>
      <c r="N16" s="1588"/>
    </row>
    <row r="17" spans="2:14" ht="14" x14ac:dyDescent="0.3">
      <c r="B17" s="145"/>
      <c r="C17" s="1638"/>
      <c r="D17" s="1638"/>
      <c r="E17" s="1638"/>
      <c r="F17" s="1638"/>
      <c r="G17" s="1638"/>
      <c r="I17" s="1634" t="str">
        <f>IF(T1&lt;&gt;"",T1,"")</f>
        <v/>
      </c>
      <c r="J17" s="1634"/>
      <c r="K17" s="1634"/>
      <c r="L17" s="1634"/>
      <c r="M17" s="1634"/>
      <c r="N17" s="1634"/>
    </row>
    <row r="18" spans="2:14" x14ac:dyDescent="0.3">
      <c r="C18" s="1638"/>
      <c r="D18" s="1638"/>
      <c r="E18" s="1638"/>
      <c r="F18" s="1638"/>
      <c r="G18" s="1638"/>
    </row>
    <row r="21" spans="2:14" hidden="1" x14ac:dyDescent="0.3">
      <c r="B21" s="2">
        <v>0.01</v>
      </c>
      <c r="C21" s="2">
        <v>0.99</v>
      </c>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0"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7</xdr:col>
                <xdr:colOff>133350</xdr:colOff>
                <xdr:row>19</xdr:row>
                <xdr:rowOff>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election activeCell="R1" sqref="R1:DZ1048576"/>
    </sheetView>
  </sheetViews>
  <sheetFormatPr defaultColWidth="2.54296875" defaultRowHeight="13" x14ac:dyDescent="0.3"/>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3">
      <c r="B1" s="739" t="s">
        <v>1732</v>
      </c>
      <c r="C1" s="739"/>
      <c r="D1" s="786"/>
      <c r="E1" s="747" t="str">
        <f>IF('Start here'!A6="","",'Start here'!A6)</f>
        <v/>
      </c>
      <c r="F1" s="751"/>
      <c r="G1" s="751"/>
      <c r="H1" s="751"/>
      <c r="I1" s="751"/>
      <c r="J1" s="751"/>
      <c r="K1" s="752"/>
      <c r="M1" s="747" t="str">
        <f>IF('Start here'!A7="","",'Start here'!A7)</f>
        <v/>
      </c>
      <c r="N1" s="751"/>
      <c r="O1" s="751"/>
      <c r="P1" s="752"/>
      <c r="R1" s="6"/>
      <c r="S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92"/>
      <c r="C2" s="792"/>
      <c r="D2" s="792"/>
      <c r="E2" s="792"/>
      <c r="F2" s="792"/>
      <c r="G2" s="792"/>
      <c r="H2" s="792"/>
      <c r="I2" s="792"/>
      <c r="J2" s="792"/>
      <c r="K2" s="792"/>
      <c r="L2" s="792"/>
      <c r="M2" s="792"/>
      <c r="N2" s="792"/>
      <c r="O2" s="792"/>
      <c r="P2" s="792"/>
      <c r="X2" s="10"/>
      <c r="Y2" s="10" t="s">
        <v>2172</v>
      </c>
    </row>
    <row r="3" spans="1:170" ht="39" customHeight="1" x14ac:dyDescent="0.4">
      <c r="A3" s="15"/>
      <c r="B3" s="793" t="str">
        <f>IF(N11="",Y2,IF(N11&lt;R4,Y4,Y3))</f>
        <v>Enter date of injury on "Start here" worksheet: The disability award cannot be determined without the date of injury.</v>
      </c>
      <c r="C3" s="794"/>
      <c r="D3" s="794"/>
      <c r="E3" s="794"/>
      <c r="F3" s="794"/>
      <c r="G3" s="795"/>
      <c r="H3" s="795"/>
      <c r="I3" s="795"/>
      <c r="J3" s="795"/>
      <c r="K3" s="795"/>
      <c r="L3" s="795"/>
      <c r="M3" s="795"/>
      <c r="N3" s="795"/>
      <c r="O3" s="795"/>
      <c r="P3" s="796"/>
      <c r="R3" s="552">
        <v>38718</v>
      </c>
      <c r="S3" s="146" t="s">
        <v>1306</v>
      </c>
      <c r="T3" s="50" t="s">
        <v>1304</v>
      </c>
      <c r="U3" s="50" t="s">
        <v>1305</v>
      </c>
      <c r="V3" s="50" t="s">
        <v>1306</v>
      </c>
      <c r="W3" s="10"/>
      <c r="X3" s="10"/>
      <c r="Y3" s="10" t="s">
        <v>1120</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3">
      <c r="B4" s="150" t="s">
        <v>889</v>
      </c>
      <c r="C4" s="780">
        <f>'Upper Extremity-Right'!I622</f>
        <v>0</v>
      </c>
      <c r="D4" s="781"/>
      <c r="E4" s="782"/>
      <c r="F4" s="6"/>
      <c r="G4" s="797" t="s">
        <v>1266</v>
      </c>
      <c r="H4" s="798"/>
      <c r="I4" s="798"/>
      <c r="J4" s="798"/>
      <c r="K4" s="798"/>
      <c r="L4" s="798"/>
      <c r="M4" s="798"/>
      <c r="N4" s="798"/>
      <c r="O4" s="798"/>
      <c r="P4" s="799"/>
      <c r="R4" s="155">
        <v>38353</v>
      </c>
      <c r="S4" s="553">
        <f>ROUND(C4,2)</f>
        <v>0</v>
      </c>
      <c r="T4" s="147">
        <f>LARGE($S$4:$S$52,1)</f>
        <v>0</v>
      </c>
      <c r="U4" s="554">
        <f>T4+T5*(1-T4)</f>
        <v>0</v>
      </c>
      <c r="V4" s="557">
        <f>ROUND(U4,2)</f>
        <v>0</v>
      </c>
      <c r="W4" s="10"/>
      <c r="X4" s="10"/>
      <c r="Y4" s="10" t="s">
        <v>279</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3">
      <c r="B5" s="150" t="s">
        <v>615</v>
      </c>
      <c r="C5" s="780">
        <f>'Upper Extremity-Right'!I621</f>
        <v>0</v>
      </c>
      <c r="D5" s="781"/>
      <c r="E5" s="782"/>
      <c r="F5" s="6"/>
      <c r="G5" s="240"/>
      <c r="H5" s="713"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800"/>
      <c r="J5" s="800"/>
      <c r="K5" s="800"/>
      <c r="L5" s="800"/>
      <c r="M5" s="800"/>
      <c r="N5" s="800"/>
      <c r="O5" s="800"/>
      <c r="P5" s="801"/>
      <c r="R5" s="555" t="b">
        <v>0</v>
      </c>
      <c r="S5" s="553">
        <f t="shared" ref="S5:S52" si="0">ROUND(C5,2)</f>
        <v>0</v>
      </c>
      <c r="T5" s="147">
        <f>LARGE($S$4:$S$52,2)</f>
        <v>0</v>
      </c>
      <c r="U5" s="554">
        <f>V4+T6*(1-V4)</f>
        <v>0</v>
      </c>
      <c r="V5" s="557">
        <f>ROUND(U5,2)</f>
        <v>0</v>
      </c>
      <c r="W5" s="10"/>
      <c r="X5" s="10"/>
      <c r="Y5" s="10" t="s">
        <v>364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3">
      <c r="B6" s="150" t="s">
        <v>1936</v>
      </c>
      <c r="C6" s="780">
        <f>'Upper Extremity-Right'!I616</f>
        <v>0</v>
      </c>
      <c r="D6" s="781"/>
      <c r="E6" s="782"/>
      <c r="F6" s="6"/>
      <c r="G6" s="240"/>
      <c r="H6" s="800"/>
      <c r="I6" s="800"/>
      <c r="J6" s="800"/>
      <c r="K6" s="800"/>
      <c r="L6" s="800"/>
      <c r="M6" s="800"/>
      <c r="N6" s="800"/>
      <c r="O6" s="800"/>
      <c r="P6" s="801"/>
      <c r="R6" s="555" t="b">
        <v>0</v>
      </c>
      <c r="S6" s="553">
        <f t="shared" si="0"/>
        <v>0</v>
      </c>
      <c r="T6" s="147">
        <f>LARGE($S$4:$S$52,3)</f>
        <v>0</v>
      </c>
      <c r="U6" s="554">
        <f t="shared" ref="U6:U39" si="1">V5+T7*(1-V5)</f>
        <v>0</v>
      </c>
      <c r="V6" s="557">
        <f t="shared" ref="V6:V51" si="2">ROUND(U6,2)</f>
        <v>0</v>
      </c>
      <c r="W6" s="10"/>
      <c r="X6" s="10"/>
      <c r="Y6" s="10" t="s">
        <v>1216</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3">
      <c r="B7" s="150" t="s">
        <v>115</v>
      </c>
      <c r="C7" s="780">
        <f>'Upper Extremity-Right'!I617</f>
        <v>0</v>
      </c>
      <c r="D7" s="781"/>
      <c r="E7" s="782"/>
      <c r="F7" s="6"/>
      <c r="G7" s="240"/>
      <c r="H7" s="800"/>
      <c r="I7" s="800"/>
      <c r="J7" s="800"/>
      <c r="K7" s="800"/>
      <c r="L7" s="800"/>
      <c r="M7" s="800"/>
      <c r="N7" s="800"/>
      <c r="O7" s="800"/>
      <c r="P7" s="801"/>
      <c r="R7" s="555" t="b">
        <v>0</v>
      </c>
      <c r="S7" s="553">
        <f t="shared" si="0"/>
        <v>0</v>
      </c>
      <c r="T7" s="147">
        <f>LARGE($S$4:$S$52,4)</f>
        <v>0</v>
      </c>
      <c r="U7" s="554">
        <f t="shared" si="1"/>
        <v>0</v>
      </c>
      <c r="V7" s="557">
        <f t="shared" si="2"/>
        <v>0</v>
      </c>
      <c r="W7" s="10"/>
      <c r="X7" s="10"/>
      <c r="Y7" s="10" t="s">
        <v>1182</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3">
      <c r="B8" s="150" t="s">
        <v>117</v>
      </c>
      <c r="C8" s="780">
        <f>'Upper Extremity-Right'!I618</f>
        <v>0</v>
      </c>
      <c r="D8" s="781"/>
      <c r="E8" s="782"/>
      <c r="F8" s="6"/>
      <c r="G8" s="241"/>
      <c r="H8" s="802"/>
      <c r="I8" s="802"/>
      <c r="J8" s="802"/>
      <c r="K8" s="802"/>
      <c r="L8" s="802"/>
      <c r="M8" s="802"/>
      <c r="N8" s="802"/>
      <c r="O8" s="802"/>
      <c r="P8" s="803"/>
      <c r="R8" s="50">
        <f>IF(R5=TRUE,1,0)</f>
        <v>0</v>
      </c>
      <c r="S8" s="553">
        <f t="shared" si="0"/>
        <v>0</v>
      </c>
      <c r="T8" s="147">
        <f>LARGE($S$4:$S$52,5)</f>
        <v>0</v>
      </c>
      <c r="U8" s="554">
        <f t="shared" si="1"/>
        <v>0</v>
      </c>
      <c r="V8" s="557">
        <f t="shared" si="2"/>
        <v>0</v>
      </c>
      <c r="W8" s="10"/>
      <c r="X8" s="10"/>
      <c r="Y8" s="10" t="s">
        <v>2330</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3">
      <c r="B9" s="150" t="s">
        <v>119</v>
      </c>
      <c r="C9" s="780">
        <f>'Upper Extremity-Right'!I619</f>
        <v>0</v>
      </c>
      <c r="D9" s="781"/>
      <c r="E9" s="782"/>
      <c r="F9" s="6"/>
      <c r="G9" s="787" t="str">
        <f>IF(Y16=1,Y17,IF(Y14=1,Y15,IF(R11=1,Y8,Y7)))</f>
        <v>Enter release and return to work information above.</v>
      </c>
      <c r="H9" s="787"/>
      <c r="I9" s="787"/>
      <c r="J9" s="787"/>
      <c r="K9" s="787"/>
      <c r="L9" s="787"/>
      <c r="M9" s="787"/>
      <c r="N9" s="787"/>
      <c r="O9" s="787"/>
      <c r="P9" s="787"/>
      <c r="R9" s="50">
        <f>IF(R6=TRUE,1,0)</f>
        <v>0</v>
      </c>
      <c r="S9" s="553">
        <f t="shared" si="0"/>
        <v>0</v>
      </c>
      <c r="T9" s="147">
        <f>LARGE($S$4:$S$52,6)</f>
        <v>0</v>
      </c>
      <c r="U9" s="554">
        <f t="shared" si="1"/>
        <v>0</v>
      </c>
      <c r="V9" s="557">
        <f t="shared" si="2"/>
        <v>0</v>
      </c>
      <c r="W9" s="10"/>
      <c r="X9" s="10"/>
      <c r="Y9" s="10" t="s">
        <v>1277</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3">
      <c r="B10" s="705" t="s">
        <v>1389</v>
      </c>
      <c r="C10" s="780">
        <f>'Upper Extremity-Right'!I620</f>
        <v>0</v>
      </c>
      <c r="D10" s="781"/>
      <c r="E10" s="782"/>
      <c r="F10" s="6"/>
      <c r="G10" s="787"/>
      <c r="H10" s="787"/>
      <c r="I10" s="787"/>
      <c r="J10" s="787"/>
      <c r="K10" s="787"/>
      <c r="L10" s="787"/>
      <c r="M10" s="787"/>
      <c r="N10" s="787"/>
      <c r="O10" s="787"/>
      <c r="P10" s="788"/>
      <c r="R10" s="50">
        <f>IF(R7=TRUE,1,0)</f>
        <v>0</v>
      </c>
      <c r="S10" s="553">
        <f t="shared" si="0"/>
        <v>0</v>
      </c>
      <c r="T10" s="147">
        <f>LARGE($S$4:$S$52,7)</f>
        <v>0</v>
      </c>
      <c r="U10" s="554">
        <f t="shared" si="1"/>
        <v>0</v>
      </c>
      <c r="V10" s="557">
        <f t="shared" si="2"/>
        <v>0</v>
      </c>
      <c r="W10" s="10"/>
      <c r="X10" s="10"/>
      <c r="Y10" s="39" t="s">
        <v>2173</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3">
      <c r="B11" s="150" t="s">
        <v>1931</v>
      </c>
      <c r="C11" s="742">
        <f>'Upper Extremity-Left'!I622</f>
        <v>0</v>
      </c>
      <c r="D11" s="751"/>
      <c r="E11" s="752"/>
      <c r="F11" s="1"/>
      <c r="G11" s="791" t="s">
        <v>363</v>
      </c>
      <c r="H11" s="791"/>
      <c r="I11" s="791"/>
      <c r="J11" s="791"/>
      <c r="K11" s="791"/>
      <c r="L11" s="791"/>
      <c r="M11" s="791"/>
      <c r="N11" s="789" t="str">
        <f>IF('Start here'!A8="","",'Start here'!A8)</f>
        <v/>
      </c>
      <c r="O11" s="790"/>
      <c r="P11" s="804" t="s">
        <v>1278</v>
      </c>
      <c r="R11" s="50">
        <f>MAX(R8:R9)</f>
        <v>0</v>
      </c>
      <c r="S11" s="553">
        <f t="shared" si="0"/>
        <v>0</v>
      </c>
      <c r="T11" s="147">
        <f>LARGE($S$4:$S$52,8)</f>
        <v>0</v>
      </c>
      <c r="U11" s="554">
        <f t="shared" si="1"/>
        <v>0</v>
      </c>
      <c r="V11" s="557">
        <f t="shared" si="2"/>
        <v>0</v>
      </c>
      <c r="W11" s="10"/>
      <c r="X11" s="10"/>
      <c r="Y11" s="39" t="s">
        <v>2263</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3">
      <c r="B12" s="150" t="s">
        <v>1535</v>
      </c>
      <c r="C12" s="742">
        <f>'Upper Extremity-Left'!I621</f>
        <v>0</v>
      </c>
      <c r="D12" s="751"/>
      <c r="E12" s="752"/>
      <c r="F12" s="1"/>
      <c r="G12" s="776" t="s">
        <v>1318</v>
      </c>
      <c r="H12" s="776"/>
      <c r="I12" s="776"/>
      <c r="J12" s="776"/>
      <c r="K12" s="776"/>
      <c r="L12" s="776"/>
      <c r="M12" s="776"/>
      <c r="N12" s="774" t="str">
        <f>IF('Start here'!A9="","",'Start here'!A9)</f>
        <v/>
      </c>
      <c r="O12" s="775"/>
      <c r="P12" s="805"/>
      <c r="S12" s="553">
        <f t="shared" si="0"/>
        <v>0</v>
      </c>
      <c r="T12" s="147">
        <f>LARGE($S$4:$S$52,9)</f>
        <v>0</v>
      </c>
      <c r="U12" s="554">
        <f t="shared" si="1"/>
        <v>0</v>
      </c>
      <c r="V12" s="557">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3">
      <c r="B13" s="150" t="s">
        <v>942</v>
      </c>
      <c r="C13" s="742">
        <f>'Upper Extremity-Left'!I616</f>
        <v>0</v>
      </c>
      <c r="D13" s="751"/>
      <c r="E13" s="752"/>
      <c r="F13" s="1"/>
      <c r="G13" s="806" t="s">
        <v>1319</v>
      </c>
      <c r="H13" s="806"/>
      <c r="I13" s="806"/>
      <c r="J13" s="806"/>
      <c r="K13" s="806"/>
      <c r="L13" s="806"/>
      <c r="M13" s="806"/>
      <c r="N13" s="774" t="str">
        <f>IF('Start here'!A11="","",'Start here'!A11)</f>
        <v/>
      </c>
      <c r="O13" s="775"/>
      <c r="P13" s="791"/>
      <c r="S13" s="553">
        <f t="shared" si="0"/>
        <v>0</v>
      </c>
      <c r="T13" s="147">
        <f>LARGE($S$4:$S$52,10)</f>
        <v>0</v>
      </c>
      <c r="U13" s="554">
        <f t="shared" si="1"/>
        <v>0</v>
      </c>
      <c r="V13" s="557">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3">
      <c r="B14" s="150" t="s">
        <v>1415</v>
      </c>
      <c r="C14" s="742">
        <f>'Upper Extremity-Left'!I617</f>
        <v>0</v>
      </c>
      <c r="D14" s="751"/>
      <c r="E14" s="752"/>
      <c r="F14" s="1"/>
      <c r="G14" s="806" t="str">
        <f>IF(Y16=1,Y18,IF(R11=1,"Not applicable","Age 40 or above, add value of 1."))</f>
        <v>No release/return to work data</v>
      </c>
      <c r="H14" s="806"/>
      <c r="I14" s="806"/>
      <c r="J14" s="806"/>
      <c r="K14" s="806"/>
      <c r="L14" s="806"/>
      <c r="M14" s="806"/>
      <c r="N14" s="777" t="str">
        <f>IF(R11=1,"",IF(AND('Start here'!A9="",'Start here'!A10=""),"Enter DOB or age.",IF(AND('Start here'!A10="",'Start here'!A11=""),"Enter date of issuance.",IF('Start here'!A9&lt;&gt;"",Y1,'Start here'!A10))))</f>
        <v>Enter DOB or age.</v>
      </c>
      <c r="O14" s="777"/>
      <c r="P14" s="230" t="str">
        <f>IF(OR(C53=0,R11=1),"",IF(OR(N14="Enter DOB or age.",N14="Enter age or date of issuance."),"",IF(N14&gt;=40,1,0)))</f>
        <v/>
      </c>
      <c r="S14" s="553">
        <f t="shared" si="0"/>
        <v>0</v>
      </c>
      <c r="T14" s="147">
        <f>LARGE($S$4:$S$52,11)</f>
        <v>0</v>
      </c>
      <c r="U14" s="554">
        <f t="shared" si="1"/>
        <v>0</v>
      </c>
      <c r="V14" s="557">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3">
      <c r="B15" s="150" t="s">
        <v>584</v>
      </c>
      <c r="C15" s="742">
        <f>'Upper Extremity-Left'!I618</f>
        <v>0</v>
      </c>
      <c r="D15" s="751"/>
      <c r="E15" s="752"/>
      <c r="F15" s="1"/>
      <c r="G15" s="757" t="str">
        <f>IF(C53=0,"No PPD entered",IF(Y16=1,Y18,IF(R11=1,"Not applicable","Formal education (&lt;12, add 1)")))</f>
        <v>No PPD entered</v>
      </c>
      <c r="H15" s="758"/>
      <c r="I15" s="758"/>
      <c r="J15" s="758"/>
      <c r="K15" s="758"/>
      <c r="L15" s="758"/>
      <c r="M15" s="759"/>
      <c r="N15" s="740"/>
      <c r="O15" s="741"/>
      <c r="P15" s="149" t="str">
        <f>IF(OR(C53=0,R11=1),"",IF(N15=B56,0,IF(N15=C56,1,0)))</f>
        <v/>
      </c>
      <c r="S15" s="553">
        <f t="shared" si="0"/>
        <v>0</v>
      </c>
      <c r="T15" s="147">
        <f>LARGE($S$4:$S$52,12)</f>
        <v>0</v>
      </c>
      <c r="U15" s="554">
        <f t="shared" si="1"/>
        <v>0</v>
      </c>
      <c r="V15" s="557">
        <f t="shared" si="2"/>
        <v>0</v>
      </c>
      <c r="W15" s="10"/>
      <c r="X15" s="10"/>
      <c r="Y15" s="10" t="s">
        <v>2155</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3">
      <c r="B16" s="150" t="s">
        <v>1453</v>
      </c>
      <c r="C16" s="742">
        <f>'Upper Extremity-Left'!I619</f>
        <v>0</v>
      </c>
      <c r="D16" s="751"/>
      <c r="E16" s="752"/>
      <c r="F16" s="1"/>
      <c r="G16" s="748" t="str">
        <f>IF(C53=0,"No PPD entered",IF(Y16=1,Y18,IF(R11=1,"Not applicable","Specific vocational preparation")))</f>
        <v>No PPD entered</v>
      </c>
      <c r="H16" s="749"/>
      <c r="I16" s="749"/>
      <c r="J16" s="749"/>
      <c r="K16" s="749"/>
      <c r="L16" s="749"/>
      <c r="M16" s="750"/>
      <c r="N16" s="745"/>
      <c r="O16" s="835"/>
      <c r="P16" s="149" t="str">
        <f>IF(OR(C53=0,N16="",R11=1),"",SUMIF(A57:J57,N16,A58:J58))</f>
        <v/>
      </c>
      <c r="S16" s="553">
        <f t="shared" si="0"/>
        <v>0</v>
      </c>
      <c r="T16" s="147">
        <f>LARGE($S$4:$S$52,13)</f>
        <v>0</v>
      </c>
      <c r="U16" s="554">
        <f t="shared" si="1"/>
        <v>0</v>
      </c>
      <c r="V16" s="557">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3">
      <c r="B17" s="150" t="s">
        <v>1666</v>
      </c>
      <c r="C17" s="742">
        <f>'Upper Extremity-Left'!I620</f>
        <v>0</v>
      </c>
      <c r="D17" s="751"/>
      <c r="E17" s="752"/>
      <c r="F17" s="1"/>
      <c r="G17" s="764" t="str">
        <f>IF(Y16=1,Y18,IF(R11=1,"Not applicable",Y9))</f>
        <v>No release/return to work data</v>
      </c>
      <c r="H17" s="765"/>
      <c r="I17" s="765"/>
      <c r="J17" s="765"/>
      <c r="K17" s="765"/>
      <c r="L17" s="765"/>
      <c r="M17" s="765"/>
      <c r="N17" s="765"/>
      <c r="O17" s="765"/>
      <c r="P17" s="766"/>
      <c r="S17" s="553">
        <f t="shared" si="0"/>
        <v>0</v>
      </c>
      <c r="T17" s="147">
        <f>LARGE($S$4:$S$52,14)</f>
        <v>0</v>
      </c>
      <c r="U17" s="554">
        <f t="shared" si="1"/>
        <v>0</v>
      </c>
      <c r="V17" s="557">
        <f t="shared" si="2"/>
        <v>0</v>
      </c>
      <c r="W17" s="10"/>
      <c r="X17" s="10"/>
      <c r="Y17" s="10" t="s">
        <v>2156</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3">
      <c r="B18" s="150" t="s">
        <v>1363</v>
      </c>
      <c r="C18" s="753">
        <f>'Lower Extremity-Right'!J485</f>
        <v>0</v>
      </c>
      <c r="D18" s="754"/>
      <c r="E18" s="755"/>
      <c r="F18" s="1"/>
      <c r="G18" s="833"/>
      <c r="H18" s="713"/>
      <c r="I18" s="713"/>
      <c r="J18" s="713"/>
      <c r="K18" s="713"/>
      <c r="L18" s="713"/>
      <c r="M18" s="713"/>
      <c r="N18" s="713"/>
      <c r="O18" s="713"/>
      <c r="P18" s="834"/>
      <c r="S18" s="553">
        <f t="shared" si="0"/>
        <v>0</v>
      </c>
      <c r="T18" s="147">
        <f>LARGE($S$4:$S$52,15)</f>
        <v>0</v>
      </c>
      <c r="U18" s="554">
        <f t="shared" si="1"/>
        <v>0</v>
      </c>
      <c r="V18" s="557">
        <f t="shared" si="2"/>
        <v>0</v>
      </c>
      <c r="W18" s="10"/>
      <c r="X18" s="10"/>
      <c r="Y18" s="2" t="s">
        <v>2157</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3">
      <c r="B19" s="150" t="s">
        <v>1344</v>
      </c>
      <c r="C19" s="753">
        <f>'Lower Extremity-Right'!J484</f>
        <v>0</v>
      </c>
      <c r="D19" s="754"/>
      <c r="E19" s="755"/>
      <c r="F19" s="1"/>
      <c r="G19" s="767"/>
      <c r="H19" s="768"/>
      <c r="I19" s="768"/>
      <c r="J19" s="768"/>
      <c r="K19" s="768"/>
      <c r="L19" s="768"/>
      <c r="M19" s="768"/>
      <c r="N19" s="768"/>
      <c r="O19" s="768"/>
      <c r="P19" s="834"/>
      <c r="S19" s="553">
        <f t="shared" si="0"/>
        <v>0</v>
      </c>
      <c r="T19" s="147">
        <f>LARGE($S$4:$S$52,16)</f>
        <v>0</v>
      </c>
      <c r="U19" s="554">
        <f t="shared" si="1"/>
        <v>0</v>
      </c>
      <c r="V19" s="557">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3">
      <c r="B20" s="150" t="s">
        <v>1358</v>
      </c>
      <c r="C20" s="753">
        <f>'Lower Extremity-Right'!J479</f>
        <v>0</v>
      </c>
      <c r="D20" s="754"/>
      <c r="E20" s="755"/>
      <c r="F20" s="6" t="s">
        <v>209</v>
      </c>
      <c r="G20" s="748" t="str">
        <f>IF(C53=0,"No PPD entered",IF(Y16=1,Y18,IF(R11=1,"Not applicable","Rule 0012(13) chart adaptability")))</f>
        <v>No PPD entered</v>
      </c>
      <c r="H20" s="749"/>
      <c r="I20" s="749"/>
      <c r="J20" s="749"/>
      <c r="K20" s="749"/>
      <c r="L20" s="749"/>
      <c r="M20" s="750"/>
      <c r="N20" s="746" t="str">
        <f>IF(OR(C53=0,R11=1),"",SUMIF(B66:CW66,C53,B67:CW67))</f>
        <v/>
      </c>
      <c r="O20" s="747"/>
      <c r="P20" s="821" t="s">
        <v>1278</v>
      </c>
      <c r="R20" s="10"/>
      <c r="S20" s="553">
        <f t="shared" si="0"/>
        <v>0</v>
      </c>
      <c r="T20" s="147">
        <f>LARGE($S$4:$S$52,17)</f>
        <v>0</v>
      </c>
      <c r="U20" s="554">
        <f t="shared" si="1"/>
        <v>0</v>
      </c>
      <c r="V20" s="557">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3">
      <c r="B21" s="150" t="s">
        <v>240</v>
      </c>
      <c r="C21" s="753">
        <f>'Lower Extremity-Right'!J480</f>
        <v>0</v>
      </c>
      <c r="D21" s="754"/>
      <c r="E21" s="755"/>
      <c r="G21" s="748" t="str">
        <f>IF(C53=0,"No PPD entered",IF(Y16=1,Y18,IF(R11=1,"Not applicable","Base functional capacity")))</f>
        <v>No PPD entered</v>
      </c>
      <c r="H21" s="749"/>
      <c r="I21" s="749"/>
      <c r="J21" s="749"/>
      <c r="K21" s="749"/>
      <c r="L21" s="749"/>
      <c r="M21" s="750"/>
      <c r="N21" s="708"/>
      <c r="O21" s="745"/>
      <c r="P21" s="822"/>
      <c r="R21" s="50" t="str">
        <f>IF(OR(N21="",N22=""),"No BFC/RFC",CONCATENATE(N21,N22))</f>
        <v>No BFC/RFC</v>
      </c>
      <c r="S21" s="553">
        <f t="shared" si="0"/>
        <v>0</v>
      </c>
      <c r="T21" s="147">
        <f>LARGE($S$4:$S$52,18)</f>
        <v>0</v>
      </c>
      <c r="U21" s="554">
        <f t="shared" si="1"/>
        <v>0</v>
      </c>
      <c r="V21" s="557">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3">
      <c r="B22" s="150" t="s">
        <v>241</v>
      </c>
      <c r="C22" s="753">
        <f>'Lower Extremity-Right'!J481</f>
        <v>0</v>
      </c>
      <c r="D22" s="754"/>
      <c r="E22" s="755"/>
      <c r="F22" s="159"/>
      <c r="G22" s="748" t="str">
        <f>IF(C53=0,"No PPD entered",IF(Y16=1,Y18,IF(R11=1,"Not applicable","Residual functional capacity")))</f>
        <v>No PPD entered</v>
      </c>
      <c r="H22" s="749"/>
      <c r="I22" s="749"/>
      <c r="J22" s="749"/>
      <c r="K22" s="749"/>
      <c r="L22" s="749"/>
      <c r="M22" s="750"/>
      <c r="N22" s="708"/>
      <c r="O22" s="745"/>
      <c r="P22" s="822"/>
      <c r="S22" s="553">
        <f t="shared" si="0"/>
        <v>0</v>
      </c>
      <c r="T22" s="147">
        <f>LARGE($S$4:$S$52,19)</f>
        <v>0</v>
      </c>
      <c r="U22" s="554">
        <f t="shared" si="1"/>
        <v>0</v>
      </c>
      <c r="V22" s="557">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3">
      <c r="B23" s="150" t="s">
        <v>242</v>
      </c>
      <c r="C23" s="753">
        <f>'Lower Extremity-Right'!J482</f>
        <v>0</v>
      </c>
      <c r="D23" s="754"/>
      <c r="E23" s="755"/>
      <c r="F23" s="158" t="s">
        <v>210</v>
      </c>
      <c r="G23" s="748" t="str">
        <f>IF(Y16=1,Y18,IF(R11=1,"Not applicable","Rule 0012(11) chart adaptability"))</f>
        <v>No release/return to work data</v>
      </c>
      <c r="H23" s="749"/>
      <c r="I23" s="749"/>
      <c r="J23" s="749"/>
      <c r="K23" s="749"/>
      <c r="L23" s="749"/>
      <c r="M23" s="750"/>
      <c r="N23" s="746" t="str">
        <f>IF(OR(C53=0,R11=1),"",SUMIF(B62:AT62,R21,B63:AT63))</f>
        <v/>
      </c>
      <c r="O23" s="747"/>
      <c r="P23" s="823"/>
      <c r="S23" s="553">
        <f t="shared" si="0"/>
        <v>0</v>
      </c>
      <c r="T23" s="147">
        <f>LARGE($S$4:$S$52,20)</f>
        <v>0</v>
      </c>
      <c r="U23" s="554">
        <f t="shared" si="1"/>
        <v>0</v>
      </c>
      <c r="V23" s="557">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3">
      <c r="B24" s="150" t="s">
        <v>243</v>
      </c>
      <c r="C24" s="753">
        <f>'Lower Extremity-Right'!J483</f>
        <v>0</v>
      </c>
      <c r="D24" s="754"/>
      <c r="E24" s="755"/>
      <c r="F24" s="1"/>
      <c r="G24" s="757" t="str">
        <f>IF(Y16=1,Y18,IF(R11=1,"Not applicable","Adaptability value = greater of A1, A2"))</f>
        <v>No release/return to work data</v>
      </c>
      <c r="H24" s="758"/>
      <c r="I24" s="758"/>
      <c r="J24" s="758"/>
      <c r="K24" s="758"/>
      <c r="L24" s="758"/>
      <c r="M24" s="758"/>
      <c r="N24" s="758"/>
      <c r="O24" s="759"/>
      <c r="P24" s="230" t="str">
        <f>IF(OR(C53=0,R11=1),"",MAX(N20,N23))</f>
        <v/>
      </c>
      <c r="S24" s="553">
        <f t="shared" si="0"/>
        <v>0</v>
      </c>
      <c r="T24" s="147">
        <f>LARGE($S$4:$S$52,21)</f>
        <v>0</v>
      </c>
      <c r="U24" s="554">
        <f t="shared" si="1"/>
        <v>0</v>
      </c>
      <c r="V24" s="557">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3">
      <c r="B25" s="150" t="s">
        <v>1243</v>
      </c>
      <c r="C25" s="753">
        <f>'Lower Extremity-Left'!J485</f>
        <v>0</v>
      </c>
      <c r="D25" s="754"/>
      <c r="E25" s="755"/>
      <c r="F25" s="1"/>
      <c r="G25" s="757" t="str">
        <f>IF(Y16=1,Y18,IF(R11=1,"Not applicable","Multiplied times the age &amp; education total"))</f>
        <v>No release/return to work data</v>
      </c>
      <c r="H25" s="758"/>
      <c r="I25" s="758"/>
      <c r="J25" s="758"/>
      <c r="K25" s="758"/>
      <c r="L25" s="758"/>
      <c r="M25" s="758"/>
      <c r="N25" s="758"/>
      <c r="O25" s="759"/>
      <c r="P25" s="149" t="str">
        <f>IF(OR(C53=0,R11=1),"",SUM(P14:P16))</f>
        <v/>
      </c>
      <c r="S25" s="553">
        <f t="shared" si="0"/>
        <v>0</v>
      </c>
      <c r="T25" s="147">
        <f>LARGE($S$4:$S$52,22)</f>
        <v>0</v>
      </c>
      <c r="U25" s="554">
        <f t="shared" si="1"/>
        <v>0</v>
      </c>
      <c r="V25" s="557">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3">
      <c r="B26" s="150" t="s">
        <v>476</v>
      </c>
      <c r="C26" s="753">
        <f>'Lower Extremity-Left'!J484</f>
        <v>0</v>
      </c>
      <c r="D26" s="754"/>
      <c r="E26" s="755"/>
      <c r="F26" s="1"/>
      <c r="G26" s="757" t="str">
        <f>IF(Y16=1,Y18,IF(R11=1,"Not applicable","Equals total social-vocational factor"))</f>
        <v>No release/return to work data</v>
      </c>
      <c r="H26" s="758"/>
      <c r="I26" s="758"/>
      <c r="J26" s="758"/>
      <c r="K26" s="758"/>
      <c r="L26" s="758"/>
      <c r="M26" s="758"/>
      <c r="N26" s="758"/>
      <c r="O26" s="759"/>
      <c r="P26" s="149" t="str">
        <f>IF(OR(C53=0,R11=1),"",P24*P25)</f>
        <v/>
      </c>
      <c r="R26" s="10"/>
      <c r="S26" s="553">
        <f t="shared" si="0"/>
        <v>0</v>
      </c>
      <c r="T26" s="147">
        <f>LARGE($S$4:$S$52,23)</f>
        <v>0</v>
      </c>
      <c r="U26" s="554">
        <f t="shared" si="1"/>
        <v>0</v>
      </c>
      <c r="V26" s="557">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3">
      <c r="B27" s="150" t="s">
        <v>1364</v>
      </c>
      <c r="C27" s="753">
        <f>'Lower Extremity-Left'!J479</f>
        <v>0</v>
      </c>
      <c r="D27" s="754"/>
      <c r="E27" s="755"/>
      <c r="F27" s="1"/>
      <c r="G27" s="824" t="str">
        <f>IF(OR(C53=0,R11=1),"",IF(N11="",Y5,IF(N13="","Enter date of issuance.",IF(AND(R11=0,OR(N15="",N16="",N21="",N22="")),"Missing social-vocational data",IF(N13&lt;N11,Y6,"")))))</f>
        <v/>
      </c>
      <c r="H27" s="825"/>
      <c r="I27" s="825"/>
      <c r="J27" s="825"/>
      <c r="K27" s="825"/>
      <c r="L27" s="825"/>
      <c r="M27" s="825"/>
      <c r="N27" s="825"/>
      <c r="O27" s="825"/>
      <c r="P27" s="826"/>
      <c r="R27" s="10"/>
      <c r="S27" s="553">
        <f t="shared" si="0"/>
        <v>0</v>
      </c>
      <c r="T27" s="147">
        <f>LARGE($S$4:$S$52,24)</f>
        <v>0</v>
      </c>
      <c r="U27" s="554">
        <f t="shared" si="1"/>
        <v>0</v>
      </c>
      <c r="V27" s="557">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3">
      <c r="B28" s="150" t="s">
        <v>1062</v>
      </c>
      <c r="C28" s="753">
        <f>'Lower Extremity-Left'!J480</f>
        <v>0</v>
      </c>
      <c r="D28" s="754"/>
      <c r="E28" s="755"/>
      <c r="F28" s="1"/>
      <c r="G28" s="827"/>
      <c r="H28" s="828"/>
      <c r="I28" s="828"/>
      <c r="J28" s="828"/>
      <c r="K28" s="828"/>
      <c r="L28" s="828"/>
      <c r="M28" s="828"/>
      <c r="N28" s="828"/>
      <c r="O28" s="828"/>
      <c r="P28" s="829"/>
      <c r="S28" s="553">
        <f t="shared" si="0"/>
        <v>0</v>
      </c>
      <c r="T28" s="147">
        <f>LARGE($S$4:$S$52,25)</f>
        <v>0</v>
      </c>
      <c r="U28" s="554">
        <f t="shared" si="1"/>
        <v>0</v>
      </c>
      <c r="V28" s="557">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3">
      <c r="B29" s="150" t="s">
        <v>1366</v>
      </c>
      <c r="C29" s="753">
        <f>'Lower Extremity-Left'!J481</f>
        <v>0</v>
      </c>
      <c r="D29" s="754"/>
      <c r="E29" s="755"/>
      <c r="F29" s="1"/>
      <c r="G29" s="827"/>
      <c r="H29" s="828"/>
      <c r="I29" s="828"/>
      <c r="J29" s="828"/>
      <c r="K29" s="828"/>
      <c r="L29" s="828"/>
      <c r="M29" s="828"/>
      <c r="N29" s="828"/>
      <c r="O29" s="828"/>
      <c r="P29" s="829"/>
      <c r="R29" s="10"/>
      <c r="S29" s="553">
        <f t="shared" si="0"/>
        <v>0</v>
      </c>
      <c r="T29" s="147">
        <f>LARGE($S$4:$S$52,26)</f>
        <v>0</v>
      </c>
      <c r="U29" s="554">
        <f t="shared" si="1"/>
        <v>0</v>
      </c>
      <c r="V29" s="557">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3">
      <c r="B30" s="150" t="s">
        <v>1367</v>
      </c>
      <c r="C30" s="753">
        <f>'Lower Extremity-Left'!J482</f>
        <v>0</v>
      </c>
      <c r="D30" s="754"/>
      <c r="E30" s="755"/>
      <c r="F30" s="1"/>
      <c r="G30" s="830"/>
      <c r="H30" s="831"/>
      <c r="I30" s="831"/>
      <c r="J30" s="831"/>
      <c r="K30" s="831"/>
      <c r="L30" s="831"/>
      <c r="M30" s="831"/>
      <c r="N30" s="831"/>
      <c r="O30" s="831"/>
      <c r="P30" s="832"/>
      <c r="R30" s="10"/>
      <c r="S30" s="553">
        <f t="shared" si="0"/>
        <v>0</v>
      </c>
      <c r="T30" s="147">
        <f>LARGE($S$4:$S$52,27)</f>
        <v>0</v>
      </c>
      <c r="U30" s="554">
        <f t="shared" si="1"/>
        <v>0</v>
      </c>
      <c r="V30" s="557">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3">
      <c r="B31" s="150" t="s">
        <v>1368</v>
      </c>
      <c r="C31" s="753">
        <f>'Lower Extremity-Left'!J483</f>
        <v>0</v>
      </c>
      <c r="D31" s="754"/>
      <c r="E31" s="755"/>
      <c r="F31" s="158" t="s">
        <v>208</v>
      </c>
      <c r="G31" s="757" t="str">
        <f>IF(Y16=1,Y18,IF(R11=1,"Not applicable","Permanent impairment + social-vocational factor"))</f>
        <v>No release/return to work data</v>
      </c>
      <c r="H31" s="758"/>
      <c r="I31" s="758"/>
      <c r="J31" s="758"/>
      <c r="K31" s="758"/>
      <c r="L31" s="758"/>
      <c r="M31" s="758"/>
      <c r="N31" s="758"/>
      <c r="O31" s="759"/>
      <c r="P31" s="236" t="str">
        <f>IF(OR(C53=0,R11=1),"",C53+P26/100)</f>
        <v/>
      </c>
      <c r="R31" s="50">
        <f>Hearing!S35</f>
        <v>0</v>
      </c>
      <c r="S31" s="553">
        <f t="shared" si="0"/>
        <v>0</v>
      </c>
      <c r="T31" s="147">
        <f>LARGE($S$4:$S$52,28)</f>
        <v>0</v>
      </c>
      <c r="U31" s="554">
        <f t="shared" si="1"/>
        <v>0</v>
      </c>
      <c r="V31" s="557">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3">
      <c r="B32" s="150" t="str">
        <f>IF(R31=0,"Hearing",IF(AND(R31=1,R32="Right"),"Hearing (right)",IF(AND(R31=1,R32="Left"),"Hearing (left)",IF(R31=2,"Hearing - monaural combined (L&amp;R)","Hearing - binaural"))))</f>
        <v>Hearing</v>
      </c>
      <c r="C32" s="817">
        <f>Hearing!S34</f>
        <v>0</v>
      </c>
      <c r="D32" s="751"/>
      <c r="E32" s="752"/>
      <c r="F32" s="6" t="s">
        <v>12</v>
      </c>
      <c r="G32" s="757" t="str">
        <f>IF(Y16=1,Y18,IF(R11=1,"Not applicable","Work disability factor"))</f>
        <v>No release/return to work data</v>
      </c>
      <c r="H32" s="758"/>
      <c r="I32" s="758"/>
      <c r="J32" s="758"/>
      <c r="K32" s="758"/>
      <c r="L32" s="758"/>
      <c r="M32" s="759"/>
      <c r="N32" s="747">
        <f>IF(R11=1,"",150)</f>
        <v>150</v>
      </c>
      <c r="O32" s="751"/>
      <c r="P32" s="234"/>
      <c r="R32" s="50">
        <f>Hearing!R35</f>
        <v>0</v>
      </c>
      <c r="S32" s="553">
        <f t="shared" si="0"/>
        <v>0</v>
      </c>
      <c r="T32" s="147">
        <f>LARGE($S$4:$S$52,29)</f>
        <v>0</v>
      </c>
      <c r="U32" s="554">
        <f t="shared" si="1"/>
        <v>0</v>
      </c>
      <c r="V32" s="557">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3">
      <c r="B33" s="150" t="str">
        <f>IF(R33=3,"Vision - binocular",IF(R33=2,"Vision - monocular - combined (L&amp;R)",IF(AND(R33=1,R34="Left"),"Vision (left)",IF(AND(R33=1,R34="Right"),"Vision (right)","Vision"))))</f>
        <v>Vision</v>
      </c>
      <c r="C33" s="763">
        <f>Vision!AL69</f>
        <v>0</v>
      </c>
      <c r="D33" s="784"/>
      <c r="E33" s="785"/>
      <c r="F33" s="6" t="s">
        <v>11</v>
      </c>
      <c r="G33" s="771" t="str">
        <f>IF(C53=0,"No PPD entered",IF(Y16=1,Y18,IF(R11=1,"Not applicable","Worker's weekly wage at injury")))</f>
        <v>No PPD entered</v>
      </c>
      <c r="H33" s="772"/>
      <c r="I33" s="772"/>
      <c r="J33" s="772"/>
      <c r="K33" s="772"/>
      <c r="L33" s="772"/>
      <c r="M33" s="773"/>
      <c r="N33" s="815"/>
      <c r="O33" s="816"/>
      <c r="P33" s="352" t="str">
        <f>IF(AND(R11=0,N33="",C53&lt;&gt;0),"Enter wage.","")</f>
        <v/>
      </c>
      <c r="R33" s="50">
        <f>Vision!AM75</f>
        <v>0</v>
      </c>
      <c r="S33" s="553">
        <f t="shared" si="0"/>
        <v>0</v>
      </c>
      <c r="T33" s="147">
        <f>LARGE($S$4:$S$52,30)</f>
        <v>0</v>
      </c>
      <c r="U33" s="554">
        <f t="shared" si="1"/>
        <v>0</v>
      </c>
      <c r="V33" s="557">
        <f t="shared" si="2"/>
        <v>0</v>
      </c>
      <c r="W33" s="10"/>
      <c r="X33" s="10"/>
      <c r="Y33" s="10"/>
      <c r="Z33" s="129"/>
      <c r="AA33" s="10"/>
      <c r="AB33" s="129"/>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3">
      <c r="B34" s="150" t="s">
        <v>27</v>
      </c>
      <c r="C34" s="770">
        <f>'Shoulder-Right'!P90</f>
        <v>0</v>
      </c>
      <c r="D34" s="746"/>
      <c r="E34" s="746"/>
      <c r="F34" s="6" t="s">
        <v>10</v>
      </c>
      <c r="G34" s="764" t="str">
        <f>IF(Y16=1,Y18,IF(R11=1,"Not applicable","Wage carried down or adjusted to 50% min. or 133% max. of SAWW at time of injury"))</f>
        <v>No release/return to work data</v>
      </c>
      <c r="H34" s="765"/>
      <c r="I34" s="765"/>
      <c r="J34" s="765"/>
      <c r="K34" s="765"/>
      <c r="L34" s="765"/>
      <c r="M34" s="766"/>
      <c r="N34" s="813" t="str">
        <f>IF(R11=1,"",IF(N11="","Enter date of injury.",IF(SAWW!D6=0,"Missing SAWW",SAWW!D14)))</f>
        <v>Enter date of injury.</v>
      </c>
      <c r="O34" s="814"/>
      <c r="P34" s="352"/>
      <c r="R34" s="50">
        <f>Vision!AL75</f>
        <v>0</v>
      </c>
      <c r="S34" s="553">
        <f t="shared" si="0"/>
        <v>0</v>
      </c>
      <c r="T34" s="147">
        <f>LARGE($S$4:$S$52,31)</f>
        <v>0</v>
      </c>
      <c r="U34" s="554">
        <f t="shared" si="1"/>
        <v>0</v>
      </c>
      <c r="V34" s="557">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3">
      <c r="B35" s="150" t="s">
        <v>1469</v>
      </c>
      <c r="C35" s="770">
        <f>'Shoulder-Left'!P90</f>
        <v>0</v>
      </c>
      <c r="D35" s="746"/>
      <c r="E35" s="746"/>
      <c r="G35" s="767"/>
      <c r="H35" s="768"/>
      <c r="I35" s="768"/>
      <c r="J35" s="768"/>
      <c r="K35" s="768"/>
      <c r="L35" s="768"/>
      <c r="M35" s="769"/>
      <c r="N35" s="813"/>
      <c r="O35" s="814"/>
      <c r="P35" s="70"/>
      <c r="R35" s="10"/>
      <c r="S35" s="553">
        <f t="shared" si="0"/>
        <v>0</v>
      </c>
      <c r="T35" s="147">
        <f>LARGE($S$4:$S$52,32)</f>
        <v>0</v>
      </c>
      <c r="U35" s="554">
        <f t="shared" si="1"/>
        <v>0</v>
      </c>
      <c r="V35" s="557">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3">
      <c r="B36" s="150" t="s">
        <v>1470</v>
      </c>
      <c r="C36" s="770">
        <f>'Hip-Right'!P32</f>
        <v>0</v>
      </c>
      <c r="D36" s="746"/>
      <c r="E36" s="746"/>
      <c r="F36" s="175" t="s">
        <v>8</v>
      </c>
      <c r="G36" s="757" t="str">
        <f>IF(R11=1,"A work disability benefit is not due.","a * b * d = work disability benefit")</f>
        <v>a * b * d = work disability benefit</v>
      </c>
      <c r="H36" s="758"/>
      <c r="I36" s="758"/>
      <c r="J36" s="758"/>
      <c r="K36" s="758"/>
      <c r="L36" s="758"/>
      <c r="M36" s="758"/>
      <c r="N36" s="758"/>
      <c r="O36" s="759"/>
      <c r="P36" s="235">
        <f>IF(OR(C53=0,R11=1,Y16=1),0,IF(N11="","DOI?",ROUND(P31*N32*N34,2)))</f>
        <v>0</v>
      </c>
      <c r="R36" s="10"/>
      <c r="S36" s="553">
        <f t="shared" si="0"/>
        <v>0</v>
      </c>
      <c r="T36" s="147">
        <f>LARGE($S$4:$S$52,33)</f>
        <v>0</v>
      </c>
      <c r="U36" s="554">
        <f t="shared" si="1"/>
        <v>0</v>
      </c>
      <c r="V36" s="557">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3">
      <c r="B37" s="150" t="s">
        <v>1471</v>
      </c>
      <c r="C37" s="770">
        <f>'Hip-Left'!P32</f>
        <v>0</v>
      </c>
      <c r="D37" s="746"/>
      <c r="E37" s="746"/>
      <c r="F37" s="6" t="s">
        <v>5</v>
      </c>
      <c r="G37" s="757" t="s">
        <v>330</v>
      </c>
      <c r="H37" s="758"/>
      <c r="I37" s="758"/>
      <c r="J37" s="758"/>
      <c r="K37" s="758"/>
      <c r="L37" s="758"/>
      <c r="M37" s="759"/>
      <c r="N37" s="747">
        <v>100</v>
      </c>
      <c r="O37" s="751"/>
      <c r="P37" s="818" t="str">
        <f>IF(N11="","",IF(AND(N33&gt;0,SAWW!D6=0),"Update SAWW worksheet - see Bulletin 111.",""))</f>
        <v/>
      </c>
      <c r="S37" s="553">
        <f t="shared" si="0"/>
        <v>0</v>
      </c>
      <c r="T37" s="147">
        <f>LARGE($S$4:$S$52,34)</f>
        <v>0</v>
      </c>
      <c r="U37" s="554">
        <f t="shared" si="1"/>
        <v>0</v>
      </c>
      <c r="V37" s="557">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3">
      <c r="B38" s="150" t="s">
        <v>1493</v>
      </c>
      <c r="C38" s="770">
        <f>Spine!P144</f>
        <v>0</v>
      </c>
      <c r="D38" s="746"/>
      <c r="E38" s="746"/>
      <c r="F38" s="6" t="s">
        <v>6</v>
      </c>
      <c r="G38" s="771" t="s">
        <v>550</v>
      </c>
      <c r="H38" s="772"/>
      <c r="I38" s="772"/>
      <c r="J38" s="772"/>
      <c r="K38" s="772"/>
      <c r="L38" s="772"/>
      <c r="M38" s="773"/>
      <c r="N38" s="760" t="str">
        <f>IF(N11="","DOI?",IF(SAWW!D6=0,"Missing SAWW",SAWW!D6))</f>
        <v>DOI?</v>
      </c>
      <c r="O38" s="761"/>
      <c r="P38" s="819"/>
      <c r="S38" s="553">
        <f t="shared" si="0"/>
        <v>0</v>
      </c>
      <c r="T38" s="147">
        <f>LARGE($S$4:$S$52,35)</f>
        <v>0</v>
      </c>
      <c r="U38" s="554">
        <f t="shared" si="1"/>
        <v>0</v>
      </c>
      <c r="V38" s="557">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3">
      <c r="B39" s="150" t="s">
        <v>1494</v>
      </c>
      <c r="C39" s="770">
        <f>Pelvis!P17</f>
        <v>0</v>
      </c>
      <c r="D39" s="746"/>
      <c r="E39" s="746"/>
      <c r="F39" s="6" t="s">
        <v>7</v>
      </c>
      <c r="G39" s="757" t="s">
        <v>171</v>
      </c>
      <c r="H39" s="758"/>
      <c r="I39" s="758"/>
      <c r="J39" s="758"/>
      <c r="K39" s="758"/>
      <c r="L39" s="758"/>
      <c r="M39" s="759"/>
      <c r="N39" s="762">
        <f>C53</f>
        <v>0</v>
      </c>
      <c r="O39" s="763"/>
      <c r="P39" s="820"/>
      <c r="R39" s="10"/>
      <c r="S39" s="553">
        <f t="shared" si="0"/>
        <v>0</v>
      </c>
      <c r="T39" s="147">
        <f>LARGE($S$4:$S$52,36)</f>
        <v>0</v>
      </c>
      <c r="U39" s="554">
        <f t="shared" si="1"/>
        <v>0</v>
      </c>
      <c r="V39" s="557">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3">
      <c r="B40" s="150" t="s">
        <v>1492</v>
      </c>
      <c r="C40" s="770">
        <f>Abdomen!P7</f>
        <v>0</v>
      </c>
      <c r="D40" s="746"/>
      <c r="E40" s="746"/>
      <c r="F40" s="175" t="s">
        <v>9</v>
      </c>
      <c r="G40" s="757" t="s">
        <v>549</v>
      </c>
      <c r="H40" s="758"/>
      <c r="I40" s="758"/>
      <c r="J40" s="758"/>
      <c r="K40" s="758"/>
      <c r="L40" s="758"/>
      <c r="M40" s="758"/>
      <c r="N40" s="758"/>
      <c r="O40" s="759"/>
      <c r="P40" s="232" t="str">
        <f>IF(Y14=1,"ERROR",IF(Y16=1,"",IF(N11="","DOI?",ROUND(N37*N38*N39,2))))</f>
        <v/>
      </c>
      <c r="R40" s="10"/>
      <c r="S40" s="553">
        <f t="shared" si="0"/>
        <v>0</v>
      </c>
      <c r="T40" s="147">
        <f>LARGE($S$4:$S$52,37)</f>
        <v>0</v>
      </c>
      <c r="U40" s="554">
        <f t="shared" ref="U40:U51" si="3">V39+T41*(1-V39)</f>
        <v>0</v>
      </c>
      <c r="V40" s="557">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3">
      <c r="B41" s="150" t="s">
        <v>568</v>
      </c>
      <c r="C41" s="742">
        <f>Chest!P5</f>
        <v>0</v>
      </c>
      <c r="D41" s="743"/>
      <c r="E41" s="744"/>
      <c r="F41" s="175"/>
      <c r="G41" s="756" t="s">
        <v>108</v>
      </c>
      <c r="H41" s="756"/>
      <c r="I41" s="756"/>
      <c r="J41" s="756"/>
      <c r="K41" s="756"/>
      <c r="L41" s="756"/>
      <c r="M41" s="756"/>
      <c r="N41" s="756"/>
      <c r="O41" s="756"/>
      <c r="P41" s="364">
        <f>IF(Y14=1,"ERROR",IF(C53=0,0,IF(N11="","Enter DOI",IF(OR(G27&lt;&gt;"",P33&lt;&gt;""),"ERROR",SUM(P36,P40)))))</f>
        <v>0</v>
      </c>
      <c r="R41" s="10"/>
      <c r="S41" s="553">
        <f t="shared" si="0"/>
        <v>0</v>
      </c>
      <c r="T41" s="147">
        <f>LARGE($S$4:$S$52,38)</f>
        <v>0</v>
      </c>
      <c r="U41" s="554">
        <f t="shared" si="3"/>
        <v>0</v>
      </c>
      <c r="V41" s="557">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3">
      <c r="B42" s="150" t="s">
        <v>271</v>
      </c>
      <c r="C42" s="770">
        <f>Cardiovascular!P12</f>
        <v>0</v>
      </c>
      <c r="D42" s="746"/>
      <c r="E42" s="746"/>
      <c r="F42" s="157"/>
      <c r="R42" s="10"/>
      <c r="S42" s="553">
        <f t="shared" si="0"/>
        <v>0</v>
      </c>
      <c r="T42" s="147">
        <f>LARGE($S$4:$S$52,39)</f>
        <v>0</v>
      </c>
      <c r="U42" s="554">
        <f t="shared" si="3"/>
        <v>0</v>
      </c>
      <c r="V42" s="557">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3">
      <c r="B43" s="150" t="s">
        <v>1096</v>
      </c>
      <c r="C43" s="770">
        <f>Respiratory!P9</f>
        <v>0</v>
      </c>
      <c r="D43" s="746"/>
      <c r="E43" s="746"/>
      <c r="G43" s="807" t="s">
        <v>2179</v>
      </c>
      <c r="H43" s="808"/>
      <c r="I43" s="808"/>
      <c r="J43" s="808"/>
      <c r="K43" s="808"/>
      <c r="L43" s="808"/>
      <c r="M43" s="808"/>
      <c r="N43" s="808"/>
      <c r="O43" s="808"/>
      <c r="P43" s="809"/>
      <c r="R43" s="10"/>
      <c r="S43" s="553">
        <f t="shared" si="0"/>
        <v>0</v>
      </c>
      <c r="T43" s="147">
        <f>LARGE($S$4:$S$52,40)</f>
        <v>0</v>
      </c>
      <c r="U43" s="554">
        <f t="shared" si="3"/>
        <v>0</v>
      </c>
      <c r="V43" s="557">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3">
      <c r="B44" s="150" t="s">
        <v>1956</v>
      </c>
      <c r="C44" s="770">
        <f>'Cranial Nerves-Brain'!P51</f>
        <v>0</v>
      </c>
      <c r="D44" s="746"/>
      <c r="E44" s="746"/>
      <c r="G44" s="810"/>
      <c r="H44" s="811"/>
      <c r="I44" s="811"/>
      <c r="J44" s="811"/>
      <c r="K44" s="811"/>
      <c r="L44" s="811"/>
      <c r="M44" s="811"/>
      <c r="N44" s="811"/>
      <c r="O44" s="811"/>
      <c r="P44" s="812"/>
      <c r="R44" s="10"/>
      <c r="S44" s="553">
        <f t="shared" si="0"/>
        <v>0</v>
      </c>
      <c r="T44" s="147">
        <f>LARGE($S$4:$S$52,41)</f>
        <v>0</v>
      </c>
      <c r="U44" s="554">
        <f t="shared" si="3"/>
        <v>0</v>
      </c>
      <c r="V44" s="557">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3">
      <c r="B45" s="150" t="s">
        <v>274</v>
      </c>
      <c r="C45" s="770">
        <f>'Spinal cord'!P12</f>
        <v>0</v>
      </c>
      <c r="D45" s="746"/>
      <c r="E45" s="746"/>
      <c r="G45" s="810"/>
      <c r="H45" s="811"/>
      <c r="I45" s="811"/>
      <c r="J45" s="811"/>
      <c r="K45" s="811"/>
      <c r="L45" s="811"/>
      <c r="M45" s="811"/>
      <c r="N45" s="811"/>
      <c r="O45" s="811"/>
      <c r="P45" s="812"/>
      <c r="R45" s="10"/>
      <c r="S45" s="553">
        <f t="shared" si="0"/>
        <v>0</v>
      </c>
      <c r="T45" s="147">
        <f>LARGE($S$4:$S$52,42)</f>
        <v>0</v>
      </c>
      <c r="U45" s="554">
        <f t="shared" si="3"/>
        <v>0</v>
      </c>
      <c r="V45" s="557">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3">
      <c r="B46" s="150" t="s">
        <v>1070</v>
      </c>
      <c r="C46" s="770">
        <f>'Mental illness'!P16</f>
        <v>0</v>
      </c>
      <c r="D46" s="746"/>
      <c r="E46" s="746"/>
      <c r="G46" s="810"/>
      <c r="H46" s="811"/>
      <c r="I46" s="811"/>
      <c r="J46" s="811"/>
      <c r="K46" s="811"/>
      <c r="L46" s="811"/>
      <c r="M46" s="811"/>
      <c r="N46" s="811"/>
      <c r="O46" s="811"/>
      <c r="P46" s="812"/>
      <c r="R46" s="10"/>
      <c r="S46" s="553">
        <f t="shared" si="0"/>
        <v>0</v>
      </c>
      <c r="T46" s="147">
        <f>LARGE($S$4:$S$52,43)</f>
        <v>0</v>
      </c>
      <c r="U46" s="554">
        <f t="shared" si="3"/>
        <v>0</v>
      </c>
      <c r="V46" s="557">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3">
      <c r="B47" s="150" t="s">
        <v>1955</v>
      </c>
      <c r="C47" s="770">
        <f>Hematopoietic!P22</f>
        <v>0</v>
      </c>
      <c r="D47" s="746"/>
      <c r="E47" s="746"/>
      <c r="G47" s="810"/>
      <c r="H47" s="811"/>
      <c r="I47" s="811"/>
      <c r="J47" s="811"/>
      <c r="K47" s="811"/>
      <c r="L47" s="811"/>
      <c r="M47" s="811"/>
      <c r="N47" s="811"/>
      <c r="O47" s="811"/>
      <c r="P47" s="812"/>
      <c r="R47" s="10"/>
      <c r="S47" s="553">
        <f t="shared" si="0"/>
        <v>0</v>
      </c>
      <c r="T47" s="147">
        <f>LARGE($S$4:$S$52,44)</f>
        <v>0</v>
      </c>
      <c r="U47" s="554">
        <f t="shared" si="3"/>
        <v>0</v>
      </c>
      <c r="V47" s="557">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3">
      <c r="B48" s="150" t="s">
        <v>1063</v>
      </c>
      <c r="C48" s="770">
        <f>'GI &amp; GU'!P79</f>
        <v>0</v>
      </c>
      <c r="D48" s="746"/>
      <c r="E48" s="746"/>
      <c r="G48" s="810"/>
      <c r="H48" s="811"/>
      <c r="I48" s="811"/>
      <c r="J48" s="811"/>
      <c r="K48" s="811"/>
      <c r="L48" s="811"/>
      <c r="M48" s="811"/>
      <c r="N48" s="811"/>
      <c r="O48" s="811"/>
      <c r="P48" s="812"/>
      <c r="R48" s="10"/>
      <c r="S48" s="553">
        <f t="shared" si="0"/>
        <v>0</v>
      </c>
      <c r="T48" s="147">
        <f>LARGE($S$4:$S$52,45)</f>
        <v>0</v>
      </c>
      <c r="U48" s="554">
        <f t="shared" si="3"/>
        <v>0</v>
      </c>
      <c r="V48" s="557">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3">
      <c r="B49" s="150" t="s">
        <v>244</v>
      </c>
      <c r="C49" s="770">
        <f>Endocrine!P53</f>
        <v>0</v>
      </c>
      <c r="D49" s="746"/>
      <c r="E49" s="746"/>
      <c r="G49" s="810"/>
      <c r="H49" s="811"/>
      <c r="I49" s="811"/>
      <c r="J49" s="811"/>
      <c r="K49" s="811"/>
      <c r="L49" s="811"/>
      <c r="M49" s="811"/>
      <c r="N49" s="811"/>
      <c r="O49" s="811"/>
      <c r="P49" s="812"/>
      <c r="R49" s="10"/>
      <c r="S49" s="553">
        <f t="shared" si="0"/>
        <v>0</v>
      </c>
      <c r="T49" s="147">
        <f>LARGE($S$4:$S$52,46)</f>
        <v>0</v>
      </c>
      <c r="U49" s="554">
        <f t="shared" si="3"/>
        <v>0</v>
      </c>
      <c r="V49" s="557">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3">
      <c r="B50" s="150" t="s">
        <v>808</v>
      </c>
      <c r="C50" s="770">
        <f>'Integument &amp; Lacrimal'!P21</f>
        <v>0</v>
      </c>
      <c r="D50" s="746"/>
      <c r="E50" s="746"/>
      <c r="G50" s="810"/>
      <c r="H50" s="811"/>
      <c r="I50" s="811"/>
      <c r="J50" s="811"/>
      <c r="K50" s="811"/>
      <c r="L50" s="811"/>
      <c r="M50" s="811"/>
      <c r="N50" s="811"/>
      <c r="O50" s="811"/>
      <c r="P50" s="812"/>
      <c r="R50" s="10"/>
      <c r="S50" s="553">
        <f t="shared" si="0"/>
        <v>0</v>
      </c>
      <c r="T50" s="147">
        <f>LARGE($S$4:$S$52,47)</f>
        <v>0</v>
      </c>
      <c r="U50" s="554">
        <f t="shared" si="3"/>
        <v>0</v>
      </c>
      <c r="V50" s="557">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3">
      <c r="B51" s="150" t="s">
        <v>102</v>
      </c>
      <c r="C51" s="770">
        <f>'Immune system'!P4</f>
        <v>0</v>
      </c>
      <c r="D51" s="746"/>
      <c r="E51" s="746"/>
      <c r="G51" s="810"/>
      <c r="H51" s="811"/>
      <c r="I51" s="811"/>
      <c r="J51" s="811"/>
      <c r="K51" s="811"/>
      <c r="L51" s="811"/>
      <c r="M51" s="811"/>
      <c r="N51" s="811"/>
      <c r="O51" s="811"/>
      <c r="P51" s="812"/>
      <c r="R51" s="10"/>
      <c r="S51" s="553">
        <f t="shared" si="0"/>
        <v>0</v>
      </c>
      <c r="T51" s="147">
        <f>LARGE($S$4:$S$52,48)</f>
        <v>0</v>
      </c>
      <c r="U51" s="554">
        <f t="shared" si="3"/>
        <v>0</v>
      </c>
      <c r="V51" s="557">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3">
      <c r="B52" s="178"/>
      <c r="C52" s="783">
        <v>0</v>
      </c>
      <c r="D52" s="783"/>
      <c r="E52" s="783"/>
      <c r="F52" s="175"/>
      <c r="G52" s="810"/>
      <c r="H52" s="811"/>
      <c r="I52" s="811"/>
      <c r="J52" s="811"/>
      <c r="K52" s="811"/>
      <c r="L52" s="811"/>
      <c r="M52" s="811"/>
      <c r="N52" s="811"/>
      <c r="O52" s="811"/>
      <c r="P52" s="812"/>
      <c r="R52" s="10"/>
      <c r="S52" s="553">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35">
      <c r="A53" s="6"/>
      <c r="B53" s="226" t="s">
        <v>171</v>
      </c>
      <c r="C53" s="778">
        <f>V51</f>
        <v>0</v>
      </c>
      <c r="D53" s="778"/>
      <c r="E53" s="778"/>
      <c r="F53" s="779" t="s">
        <v>887</v>
      </c>
      <c r="G53" s="779"/>
      <c r="H53" s="779"/>
      <c r="I53" s="779"/>
      <c r="J53" s="779"/>
      <c r="K53" s="779"/>
      <c r="L53" s="779"/>
      <c r="M53" s="779"/>
      <c r="N53" s="779"/>
      <c r="O53" s="779"/>
      <c r="P53" s="779"/>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35">
      <c r="C54" s="231"/>
      <c r="D54" s="231"/>
      <c r="E54" s="231"/>
      <c r="F54" s="231"/>
      <c r="G54" s="231"/>
      <c r="H54" s="231"/>
      <c r="I54" s="231"/>
      <c r="J54" s="231"/>
      <c r="K54" s="231"/>
      <c r="L54" s="231"/>
      <c r="M54" s="231"/>
      <c r="N54" s="231"/>
      <c r="O54" s="231"/>
      <c r="P54" s="23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3">
      <c r="B55" s="237"/>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3">
      <c r="B56" s="2" t="s">
        <v>366</v>
      </c>
      <c r="C56" s="739" t="s">
        <v>1138</v>
      </c>
      <c r="D56" s="739"/>
      <c r="E56" s="739"/>
      <c r="F56" s="739"/>
      <c r="G56" s="739"/>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3">
      <c r="A57" s="146" t="s">
        <v>278</v>
      </c>
      <c r="B57" s="18">
        <v>1</v>
      </c>
      <c r="C57" s="18">
        <v>2</v>
      </c>
      <c r="D57" s="18">
        <v>3</v>
      </c>
      <c r="E57" s="18">
        <v>4</v>
      </c>
      <c r="F57" s="18">
        <v>5</v>
      </c>
      <c r="G57" s="18">
        <v>6</v>
      </c>
      <c r="H57" s="18">
        <v>7</v>
      </c>
      <c r="I57" s="18">
        <v>8</v>
      </c>
      <c r="J57" s="18">
        <v>9</v>
      </c>
      <c r="K57" s="550"/>
      <c r="L57" s="549" t="s">
        <v>2180</v>
      </c>
      <c r="M57" s="550"/>
      <c r="N57" s="550"/>
      <c r="O57" s="551"/>
      <c r="P57" s="551"/>
      <c r="Q57" s="551"/>
      <c r="R57" s="549"/>
      <c r="S57" s="549"/>
      <c r="T57" s="549"/>
      <c r="U57" s="549"/>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3">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3">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3">
      <c r="B60" s="1"/>
      <c r="C60" s="1"/>
      <c r="D60" s="1"/>
      <c r="E60" s="1"/>
      <c r="F60" s="1"/>
      <c r="G60" s="1"/>
      <c r="H60" s="1"/>
      <c r="I60" s="1"/>
      <c r="J60" s="549"/>
      <c r="K60" s="549" t="s">
        <v>2181</v>
      </c>
      <c r="L60" s="549"/>
      <c r="M60" s="549"/>
      <c r="N60" s="549"/>
      <c r="O60" s="549"/>
      <c r="P60" s="549"/>
      <c r="Q60" s="549"/>
      <c r="R60" s="549"/>
      <c r="S60" s="549"/>
      <c r="T60" s="549"/>
      <c r="U60" s="549"/>
      <c r="V60" s="549"/>
      <c r="W60" s="549"/>
      <c r="X60" s="549"/>
      <c r="Y60" s="549"/>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3">
      <c r="B61" s="18" t="s">
        <v>354</v>
      </c>
      <c r="C61" s="18" t="s">
        <v>355</v>
      </c>
      <c r="D61" s="18" t="s">
        <v>356</v>
      </c>
      <c r="E61" s="18" t="s">
        <v>357</v>
      </c>
      <c r="F61" s="18" t="s">
        <v>358</v>
      </c>
      <c r="G61" s="18"/>
      <c r="H61" s="18" t="s">
        <v>359</v>
      </c>
      <c r="I61" s="18" t="s">
        <v>354</v>
      </c>
      <c r="J61" s="18" t="s">
        <v>360</v>
      </c>
      <c r="K61" s="18" t="s">
        <v>355</v>
      </c>
      <c r="L61" s="18" t="s">
        <v>361</v>
      </c>
      <c r="M61" s="18" t="s">
        <v>356</v>
      </c>
      <c r="N61" s="18" t="s">
        <v>362</v>
      </c>
      <c r="O61" s="146" t="s">
        <v>357</v>
      </c>
      <c r="P61" s="146" t="s">
        <v>358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3">
      <c r="B62" s="18" t="s">
        <v>1928</v>
      </c>
      <c r="C62" s="18" t="s">
        <v>1929</v>
      </c>
      <c r="D62" s="18" t="s">
        <v>1674</v>
      </c>
      <c r="E62" s="18" t="s">
        <v>1462</v>
      </c>
      <c r="F62" s="18" t="s">
        <v>1463</v>
      </c>
      <c r="G62" s="18" t="s">
        <v>1464</v>
      </c>
      <c r="H62" s="18" t="s">
        <v>1465</v>
      </c>
      <c r="I62" s="18" t="s">
        <v>1466</v>
      </c>
      <c r="J62" s="18" t="s">
        <v>1467</v>
      </c>
      <c r="K62" s="18" t="s">
        <v>1468</v>
      </c>
      <c r="L62" s="18" t="s">
        <v>1588</v>
      </c>
      <c r="M62" s="18" t="s">
        <v>958</v>
      </c>
      <c r="N62" s="18" t="s">
        <v>959</v>
      </c>
      <c r="O62" s="146" t="s">
        <v>960</v>
      </c>
      <c r="P62" s="146" t="s">
        <v>961</v>
      </c>
      <c r="Q62" s="146" t="s">
        <v>962</v>
      </c>
      <c r="R62" s="50" t="s">
        <v>963</v>
      </c>
      <c r="S62" s="50" t="s">
        <v>964</v>
      </c>
      <c r="T62" s="50" t="s">
        <v>965</v>
      </c>
      <c r="U62" s="50" t="s">
        <v>644</v>
      </c>
      <c r="V62" s="50" t="s">
        <v>645</v>
      </c>
      <c r="W62" s="50" t="s">
        <v>646</v>
      </c>
      <c r="X62" s="50" t="s">
        <v>647</v>
      </c>
      <c r="Y62" s="50" t="s">
        <v>648</v>
      </c>
      <c r="Z62" s="50" t="s">
        <v>649</v>
      </c>
      <c r="AA62" s="50" t="s">
        <v>650</v>
      </c>
      <c r="AB62" s="50" t="s">
        <v>651</v>
      </c>
      <c r="AC62" s="50" t="s">
        <v>652</v>
      </c>
      <c r="AD62" s="50" t="s">
        <v>653</v>
      </c>
      <c r="AE62" s="50" t="s">
        <v>654</v>
      </c>
      <c r="AF62" s="50" t="s">
        <v>655</v>
      </c>
      <c r="AG62" s="50" t="s">
        <v>656</v>
      </c>
      <c r="AH62" s="50" t="s">
        <v>657</v>
      </c>
      <c r="AI62" s="50" t="s">
        <v>658</v>
      </c>
      <c r="AJ62" s="50" t="s">
        <v>659</v>
      </c>
      <c r="AK62" s="50" t="s">
        <v>660</v>
      </c>
      <c r="AL62" s="50" t="s">
        <v>661</v>
      </c>
      <c r="AM62" s="50" t="s">
        <v>662</v>
      </c>
      <c r="AN62" s="50" t="s">
        <v>1064</v>
      </c>
      <c r="AO62" s="50" t="s">
        <v>378</v>
      </c>
      <c r="AP62" s="50" t="s">
        <v>379</v>
      </c>
      <c r="AQ62" s="50" t="s">
        <v>44</v>
      </c>
      <c r="AR62" s="50" t="s">
        <v>45</v>
      </c>
      <c r="AS62" s="50" t="s">
        <v>46</v>
      </c>
      <c r="AT62" s="50" t="s">
        <v>47</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3">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3">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3">
      <c r="B65" s="1"/>
      <c r="C65" s="1"/>
      <c r="D65" s="1"/>
      <c r="E65" s="1"/>
      <c r="F65" s="1"/>
      <c r="G65" s="1"/>
      <c r="H65" s="1"/>
      <c r="I65" s="1"/>
      <c r="J65" s="549"/>
      <c r="K65" s="549" t="s">
        <v>2182</v>
      </c>
      <c r="L65" s="549"/>
      <c r="M65" s="549"/>
      <c r="N65" s="549"/>
      <c r="O65" s="549"/>
      <c r="P65" s="549"/>
      <c r="Q65" s="549"/>
      <c r="R65" s="549"/>
      <c r="S65" s="549"/>
      <c r="T65" s="549"/>
      <c r="U65" s="549"/>
      <c r="V65" s="549"/>
      <c r="W65" s="549"/>
      <c r="X65" s="549"/>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3">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3">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3">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3">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3">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3">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3">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3">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3">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3">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3">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3">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3">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3">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3">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3">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3">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3">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3">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3">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3">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3">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3">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3">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3">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3">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3">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3">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3">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3">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3">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3">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3">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3">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3">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3">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3">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3">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3">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3">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3">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3">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3">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3">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3">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3">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3">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3">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3">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3">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3">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3">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3">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3">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3">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3">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3">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3">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3">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3">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3">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3">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3">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3">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3">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3">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3">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3">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3">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3">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3">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3">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3">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3">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3">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3">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3">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3">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3">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3">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3">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3">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3">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3">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3">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3">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3">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3">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3">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3">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3">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3">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3">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3">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3">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3">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3">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3">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3">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3">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3">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3">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3">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3">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3">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3">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3">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3">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3">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3">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3">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3">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3">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3">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3">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3">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3">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3">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3">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3">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3">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3">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3">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3">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3">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3">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3">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3">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3">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3">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3">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3">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3">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3">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27" priority="71" stopIfTrue="1" operator="equal">
      <formula>$Y$17</formula>
    </cfRule>
    <cfRule type="cellIs" dxfId="26"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 x14ac:dyDescent="0.3"/>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3">
      <c r="B1" s="10" t="s">
        <v>1732</v>
      </c>
      <c r="D1" s="747" t="str">
        <f>IF('Start here'!A6="","",'Start here'!A6)</f>
        <v/>
      </c>
      <c r="E1" s="751"/>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B2" s="1102"/>
      <c r="C2" s="1102"/>
      <c r="D2" s="1102"/>
      <c r="E2" s="1102"/>
      <c r="F2" s="1102"/>
      <c r="G2" s="1102"/>
      <c r="H2" s="1102"/>
      <c r="I2" s="1102"/>
      <c r="J2" s="1102"/>
      <c r="K2" s="1102"/>
      <c r="L2" s="1102"/>
      <c r="M2" s="1102"/>
      <c r="N2" s="1102"/>
      <c r="O2" s="1102"/>
      <c r="P2" s="1102"/>
    </row>
    <row r="3" spans="1:170" ht="24" customHeight="1" x14ac:dyDescent="0.4">
      <c r="B3" s="920" t="s">
        <v>1824</v>
      </c>
      <c r="C3" s="920"/>
      <c r="D3" s="920"/>
      <c r="E3" s="920"/>
      <c r="F3" s="920"/>
      <c r="G3" s="920"/>
      <c r="H3" s="920"/>
      <c r="I3" s="920"/>
      <c r="J3" s="920"/>
      <c r="K3" s="920"/>
      <c r="L3" s="920"/>
      <c r="M3" s="920"/>
      <c r="N3" s="920"/>
      <c r="O3" s="920"/>
      <c r="P3" s="920"/>
    </row>
    <row r="4" spans="1:170" ht="27" customHeight="1" x14ac:dyDescent="0.4">
      <c r="B4" s="318"/>
      <c r="C4" s="940" t="s">
        <v>429</v>
      </c>
      <c r="D4" s="941"/>
      <c r="E4" s="941"/>
      <c r="F4" s="941"/>
      <c r="G4" s="941"/>
      <c r="H4" s="941"/>
      <c r="I4" s="941"/>
      <c r="J4" s="941"/>
      <c r="K4" s="941"/>
      <c r="L4" s="942"/>
      <c r="M4" s="922" t="s">
        <v>1524</v>
      </c>
      <c r="N4" s="926"/>
      <c r="O4" s="923"/>
      <c r="P4" s="318"/>
      <c r="S4" s="128" t="s">
        <v>2299</v>
      </c>
      <c r="T4" s="13" t="s">
        <v>1304</v>
      </c>
      <c r="U4" s="13" t="s">
        <v>1305</v>
      </c>
      <c r="V4" s="13" t="s">
        <v>1306</v>
      </c>
      <c r="W4" s="19" t="s">
        <v>1025</v>
      </c>
    </row>
    <row r="5" spans="1:170" ht="21" customHeight="1" x14ac:dyDescent="0.3">
      <c r="B5" s="270" t="s">
        <v>1825</v>
      </c>
      <c r="C5" s="1635"/>
      <c r="D5" s="1636"/>
      <c r="E5" s="1636"/>
      <c r="F5" s="1636"/>
      <c r="G5" s="1636"/>
      <c r="H5" s="1636"/>
      <c r="I5" s="1636"/>
      <c r="J5" s="1636"/>
      <c r="K5" s="1636"/>
      <c r="L5" s="1637"/>
      <c r="M5" s="753">
        <f>IF(S5=2,0,IF(S5=3,0.18,IF(S5=4,0.38,IF(S5=5,0.75,0))))</f>
        <v>0</v>
      </c>
      <c r="N5" s="755"/>
      <c r="O5" s="211"/>
      <c r="P5" s="21">
        <f>IF(AND(W5&gt;0,W5&lt;0.01),0.01,ROUND(W5,2))</f>
        <v>0</v>
      </c>
      <c r="S5" s="556">
        <v>1</v>
      </c>
      <c r="T5" s="370">
        <f>LARGE($P$5:$P$8,1)</f>
        <v>0</v>
      </c>
      <c r="U5" s="408">
        <f>T5+T6*(1-T5)</f>
        <v>0</v>
      </c>
      <c r="V5" s="394">
        <f>ROUND(U5,2)</f>
        <v>0</v>
      </c>
      <c r="W5" s="146">
        <f>IF(O5&gt;0,O5*M5,M5)</f>
        <v>0</v>
      </c>
    </row>
    <row r="6" spans="1:170" ht="21" customHeight="1" x14ac:dyDescent="0.3">
      <c r="B6" s="270" t="s">
        <v>1826</v>
      </c>
      <c r="C6" s="1635"/>
      <c r="D6" s="1636"/>
      <c r="E6" s="1636"/>
      <c r="F6" s="1636"/>
      <c r="G6" s="1636"/>
      <c r="H6" s="1636"/>
      <c r="I6" s="1636"/>
      <c r="J6" s="1636"/>
      <c r="K6" s="1636"/>
      <c r="L6" s="1637"/>
      <c r="M6" s="753">
        <f>IF(S6=2,0.05,IF(S6=3,0.2,IF(S6=4,0.4,IF(S6=5,0.78,0))))</f>
        <v>0</v>
      </c>
      <c r="N6" s="755"/>
      <c r="O6" s="211"/>
      <c r="P6" s="21">
        <f>IF(AND(W6&gt;0,W6&lt;0.01),0.01,ROUND(W6,2))</f>
        <v>0</v>
      </c>
      <c r="S6" s="556">
        <v>1</v>
      </c>
      <c r="T6" s="370">
        <f>LARGE($P$5:$P$8,2)</f>
        <v>0</v>
      </c>
      <c r="U6" s="408">
        <f>V5+T7*(1-V5)</f>
        <v>0</v>
      </c>
      <c r="V6" s="394">
        <f>ROUND(U6,2)</f>
        <v>0</v>
      </c>
      <c r="W6" s="146">
        <f>IF(O6&gt;0,O6*M6,M6)</f>
        <v>0</v>
      </c>
    </row>
    <row r="7" spans="1:170" ht="21" customHeight="1" x14ac:dyDescent="0.3">
      <c r="B7" s="270" t="s">
        <v>1827</v>
      </c>
      <c r="C7" s="1635"/>
      <c r="D7" s="1636"/>
      <c r="E7" s="1636"/>
      <c r="F7" s="1636"/>
      <c r="G7" s="1636"/>
      <c r="H7" s="1636"/>
      <c r="I7" s="1636"/>
      <c r="J7" s="1636"/>
      <c r="K7" s="1636"/>
      <c r="L7" s="1637"/>
      <c r="M7" s="753">
        <f>IF(S7=2,0.04,IF(S7=3,0.09,IF(S7=4,0.18,IF(S7=5,0.26,IF(S7=6,0.33,0)))))</f>
        <v>0</v>
      </c>
      <c r="N7" s="755"/>
      <c r="O7" s="211"/>
      <c r="P7" s="21">
        <f>IF(AND(W7&gt;0,W7&lt;0.01),0.01,ROUND(W7,2))</f>
        <v>0</v>
      </c>
      <c r="S7" s="556">
        <v>1</v>
      </c>
      <c r="T7" s="370">
        <f>LARGE($P$5:$P$8,3)</f>
        <v>0</v>
      </c>
      <c r="U7" s="408">
        <f>V6+T8*(1-V6)</f>
        <v>0</v>
      </c>
      <c r="V7" s="394">
        <f>ROUND(U7,2)</f>
        <v>0</v>
      </c>
      <c r="W7" s="146">
        <f>IF(O7&gt;0,O7*M7,M7)</f>
        <v>0</v>
      </c>
    </row>
    <row r="8" spans="1:170" ht="29.25" customHeight="1" x14ac:dyDescent="0.3">
      <c r="B8" s="270" t="s">
        <v>1862</v>
      </c>
      <c r="C8" s="930"/>
      <c r="D8" s="1640"/>
      <c r="E8" s="1640"/>
      <c r="F8" s="1640"/>
      <c r="G8" s="1640"/>
      <c r="H8" s="1640"/>
      <c r="I8" s="1640"/>
      <c r="J8" s="1640"/>
      <c r="K8" s="1640"/>
      <c r="L8" s="931"/>
      <c r="M8" s="922"/>
      <c r="N8" s="923"/>
      <c r="O8" s="259"/>
      <c r="P8" s="21">
        <f>IF(S8=1,0.25,0)</f>
        <v>0</v>
      </c>
      <c r="S8" s="556">
        <v>2</v>
      </c>
      <c r="T8" s="370">
        <f>LARGE($P$5:$P$8,4)</f>
        <v>0</v>
      </c>
      <c r="U8" s="237"/>
      <c r="V8" s="7"/>
    </row>
    <row r="9" spans="1:170" ht="21" customHeight="1" x14ac:dyDescent="0.3">
      <c r="B9" s="19"/>
      <c r="C9" s="1401" t="s">
        <v>2140</v>
      </c>
      <c r="D9" s="1402"/>
      <c r="E9" s="1402"/>
      <c r="F9" s="1402"/>
      <c r="G9" s="1402"/>
      <c r="H9" s="1402"/>
      <c r="I9" s="1402"/>
      <c r="J9" s="1402"/>
      <c r="K9" s="1402"/>
      <c r="L9" s="1402"/>
      <c r="M9" s="1402"/>
      <c r="N9" s="1402"/>
      <c r="O9" s="1403"/>
      <c r="P9" s="274">
        <f>V7</f>
        <v>0</v>
      </c>
    </row>
    <row r="10" spans="1:170" ht="33" customHeight="1" x14ac:dyDescent="0.35">
      <c r="B10" s="1049" t="s">
        <v>947</v>
      </c>
      <c r="C10" s="1049"/>
      <c r="D10" s="1049"/>
      <c r="E10" s="1049"/>
      <c r="F10" s="1049"/>
      <c r="G10" s="1049"/>
      <c r="H10" s="1049"/>
      <c r="I10" s="1049"/>
      <c r="J10" s="1049"/>
      <c r="K10" s="1049"/>
      <c r="L10" s="1049"/>
      <c r="M10" s="1049"/>
      <c r="N10" s="1049"/>
      <c r="O10" s="1049"/>
      <c r="P10" s="1049"/>
    </row>
    <row r="11" spans="1:170" x14ac:dyDescent="0.3">
      <c r="A11" s="15"/>
      <c r="C11" s="1639"/>
      <c r="D11" s="1639"/>
      <c r="E11" s="1639"/>
      <c r="F11" s="1639"/>
      <c r="G11" s="1639"/>
    </row>
    <row r="12" spans="1:170" x14ac:dyDescent="0.3">
      <c r="B12" s="2" t="s">
        <v>2046</v>
      </c>
      <c r="C12" s="1639"/>
      <c r="D12" s="1639"/>
      <c r="E12" s="1639"/>
      <c r="F12" s="1639"/>
      <c r="G12" s="1639"/>
      <c r="J12" s="1588" t="str">
        <f>IF(U1&lt;&gt;"",U1,"")</f>
        <v>Go to PPD Worksheet</v>
      </c>
      <c r="K12" s="1588"/>
      <c r="L12" s="1588"/>
      <c r="M12" s="1588"/>
      <c r="N12" s="1588"/>
      <c r="O12" s="1588"/>
    </row>
    <row r="13" spans="1:170" x14ac:dyDescent="0.3">
      <c r="B13" s="2" t="s">
        <v>2047</v>
      </c>
      <c r="C13" s="1639"/>
      <c r="D13" s="1639"/>
      <c r="E13" s="1639"/>
      <c r="F13" s="1639"/>
      <c r="G13" s="1639"/>
      <c r="J13" s="1588"/>
      <c r="K13" s="1588"/>
      <c r="L13" s="1588"/>
      <c r="M13" s="1588"/>
      <c r="N13" s="1588"/>
      <c r="O13" s="1588"/>
    </row>
    <row r="14" spans="1:170" ht="14" x14ac:dyDescent="0.3">
      <c r="B14" s="145"/>
      <c r="C14" s="1639"/>
      <c r="D14" s="1639"/>
      <c r="E14" s="1639"/>
      <c r="F14" s="1639"/>
      <c r="G14" s="1639"/>
      <c r="J14" s="1634" t="str">
        <f>IF(T1&lt;&gt;"",T1,"")</f>
        <v/>
      </c>
      <c r="K14" s="1634"/>
      <c r="L14" s="1634"/>
      <c r="M14" s="1634"/>
      <c r="N14" s="1634"/>
      <c r="O14" s="1634"/>
    </row>
    <row r="15" spans="1:170" x14ac:dyDescent="0.3">
      <c r="C15" s="1639"/>
      <c r="D15" s="1639"/>
      <c r="E15" s="1639"/>
      <c r="F15" s="1639"/>
      <c r="G15" s="1639"/>
    </row>
    <row r="17" spans="2:3" hidden="1" x14ac:dyDescent="0.3">
      <c r="B17" s="2">
        <v>0.01</v>
      </c>
      <c r="C17" s="2">
        <v>0.99</v>
      </c>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7"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3">
      <c r="A2" s="15"/>
      <c r="B2" s="792"/>
      <c r="C2" s="792"/>
      <c r="D2" s="792"/>
      <c r="E2" s="792"/>
      <c r="F2" s="792"/>
      <c r="G2" s="792"/>
      <c r="H2" s="792"/>
      <c r="I2" s="792"/>
      <c r="J2" s="792"/>
      <c r="K2" s="792"/>
      <c r="L2" s="792"/>
      <c r="M2" s="792"/>
      <c r="N2" s="792"/>
      <c r="O2" s="792"/>
      <c r="P2" s="792"/>
    </row>
    <row r="3" spans="1:170" ht="31.5" customHeight="1" x14ac:dyDescent="0.4">
      <c r="B3" s="920" t="s">
        <v>1944</v>
      </c>
      <c r="C3" s="920"/>
      <c r="D3" s="920"/>
      <c r="E3" s="920"/>
      <c r="F3" s="920"/>
      <c r="G3" s="920"/>
      <c r="H3" s="920"/>
      <c r="I3" s="920"/>
      <c r="J3" s="920"/>
      <c r="K3" s="920"/>
      <c r="L3" s="920"/>
      <c r="M3" s="920"/>
      <c r="N3" s="920"/>
      <c r="O3" s="920"/>
      <c r="P3" s="920"/>
      <c r="R3" s="128" t="s">
        <v>2295</v>
      </c>
      <c r="S3" s="128" t="s">
        <v>2292</v>
      </c>
      <c r="T3" s="1"/>
      <c r="U3" s="1"/>
      <c r="V3" s="1"/>
    </row>
    <row r="4" spans="1:170" ht="27" customHeight="1" x14ac:dyDescent="0.3">
      <c r="B4" s="270" t="s">
        <v>2043</v>
      </c>
      <c r="C4" s="1023"/>
      <c r="D4" s="1023"/>
      <c r="E4" s="776" t="s">
        <v>1945</v>
      </c>
      <c r="F4" s="776"/>
      <c r="G4" s="776"/>
      <c r="H4" s="776"/>
      <c r="I4" s="776"/>
      <c r="J4" s="776"/>
      <c r="K4" s="776"/>
      <c r="L4" s="776"/>
      <c r="M4" s="776"/>
      <c r="N4" s="776"/>
      <c r="O4" s="776"/>
      <c r="P4" s="21">
        <f>IF(S4=1,0.03,0)</f>
        <v>0</v>
      </c>
      <c r="R4" s="556" t="b">
        <v>0</v>
      </c>
      <c r="S4" s="556">
        <f>IF(R4=TRUE,1,0)</f>
        <v>0</v>
      </c>
      <c r="T4" s="151"/>
      <c r="U4" s="237"/>
      <c r="V4" s="7"/>
    </row>
    <row r="5" spans="1:170" ht="27" customHeight="1" x14ac:dyDescent="0.3">
      <c r="B5" s="270" t="s">
        <v>2042</v>
      </c>
      <c r="C5" s="925"/>
      <c r="D5" s="925"/>
      <c r="E5" s="932" t="s">
        <v>1946</v>
      </c>
      <c r="F5" s="932"/>
      <c r="G5" s="932"/>
      <c r="H5" s="932"/>
      <c r="I5" s="932"/>
      <c r="J5" s="932"/>
      <c r="K5" s="932"/>
      <c r="L5" s="932"/>
      <c r="M5" s="932"/>
      <c r="N5" s="932"/>
      <c r="O5" s="932"/>
      <c r="P5" s="21">
        <v>0</v>
      </c>
      <c r="T5" s="151"/>
      <c r="U5" s="237"/>
      <c r="V5" s="7"/>
    </row>
    <row r="6" spans="1:170" ht="27" customHeight="1" x14ac:dyDescent="0.3">
      <c r="B6" s="270" t="s">
        <v>2041</v>
      </c>
      <c r="C6" s="925"/>
      <c r="D6" s="925"/>
      <c r="E6" s="932" t="s">
        <v>1946</v>
      </c>
      <c r="F6" s="932"/>
      <c r="G6" s="932"/>
      <c r="H6" s="932"/>
      <c r="I6" s="932"/>
      <c r="J6" s="932"/>
      <c r="K6" s="932"/>
      <c r="L6" s="932"/>
      <c r="M6" s="932"/>
      <c r="N6" s="932"/>
      <c r="O6" s="932"/>
      <c r="P6" s="21">
        <v>0</v>
      </c>
      <c r="R6" s="1"/>
      <c r="S6" s="1"/>
      <c r="T6" s="151"/>
      <c r="U6" s="237"/>
      <c r="V6" s="7"/>
    </row>
    <row r="7" spans="1:170" ht="27" customHeight="1" x14ac:dyDescent="0.3">
      <c r="B7" s="270" t="s">
        <v>2040</v>
      </c>
      <c r="C7" s="845"/>
      <c r="D7" s="845"/>
      <c r="E7" s="932" t="s">
        <v>1946</v>
      </c>
      <c r="F7" s="932"/>
      <c r="G7" s="932"/>
      <c r="H7" s="932"/>
      <c r="I7" s="932"/>
      <c r="J7" s="932"/>
      <c r="K7" s="932"/>
      <c r="L7" s="932"/>
      <c r="M7" s="932"/>
      <c r="N7" s="932"/>
      <c r="O7" s="932"/>
      <c r="P7" s="21">
        <v>0</v>
      </c>
      <c r="R7" s="1"/>
      <c r="S7" s="1"/>
      <c r="T7" s="151"/>
      <c r="U7" s="237"/>
      <c r="V7" s="7"/>
    </row>
    <row r="8" spans="1:170" ht="27" customHeight="1" x14ac:dyDescent="0.3">
      <c r="B8" s="417" t="s">
        <v>2039</v>
      </c>
      <c r="C8" s="1641"/>
      <c r="D8" s="1642"/>
      <c r="E8" s="773" t="s">
        <v>533</v>
      </c>
      <c r="F8" s="776"/>
      <c r="G8" s="776"/>
      <c r="H8" s="776"/>
      <c r="I8" s="776"/>
      <c r="J8" s="776"/>
      <c r="K8" s="776"/>
      <c r="L8" s="776"/>
      <c r="M8" s="776"/>
      <c r="N8" s="776"/>
      <c r="O8" s="776"/>
      <c r="P8" s="992">
        <f>IF(S8=2,0.1,IF(S8=3,0.35,0))</f>
        <v>0</v>
      </c>
      <c r="R8" s="146" t="s">
        <v>2296</v>
      </c>
      <c r="S8" s="556">
        <v>1</v>
      </c>
      <c r="T8" s="151"/>
      <c r="U8" s="237"/>
      <c r="V8" s="7"/>
    </row>
    <row r="9" spans="1:170" ht="27" customHeight="1" x14ac:dyDescent="0.3">
      <c r="B9" s="421"/>
      <c r="C9" s="1643"/>
      <c r="D9" s="1644"/>
      <c r="E9" s="773" t="s">
        <v>534</v>
      </c>
      <c r="F9" s="776"/>
      <c r="G9" s="776"/>
      <c r="H9" s="776"/>
      <c r="I9" s="776"/>
      <c r="J9" s="776"/>
      <c r="K9" s="776"/>
      <c r="L9" s="776"/>
      <c r="M9" s="776"/>
      <c r="N9" s="776"/>
      <c r="O9" s="776"/>
      <c r="P9" s="1081"/>
      <c r="T9" s="151"/>
      <c r="U9" s="237"/>
      <c r="V9" s="7"/>
    </row>
    <row r="10" spans="1:170" ht="27" customHeight="1" x14ac:dyDescent="0.3">
      <c r="B10" s="421"/>
      <c r="C10" s="1024"/>
      <c r="D10" s="1645"/>
      <c r="E10" s="773" t="s">
        <v>535</v>
      </c>
      <c r="F10" s="776"/>
      <c r="G10" s="776"/>
      <c r="H10" s="776"/>
      <c r="I10" s="776"/>
      <c r="J10" s="776"/>
      <c r="K10" s="776"/>
      <c r="L10" s="776"/>
      <c r="M10" s="776"/>
      <c r="N10" s="776"/>
      <c r="O10" s="776"/>
      <c r="P10" s="1082"/>
      <c r="R10" s="128" t="s">
        <v>2295</v>
      </c>
      <c r="S10" s="128" t="s">
        <v>2292</v>
      </c>
      <c r="T10" s="151"/>
      <c r="U10" s="237"/>
      <c r="V10" s="7"/>
    </row>
    <row r="11" spans="1:170" ht="27" customHeight="1" x14ac:dyDescent="0.3">
      <c r="B11" s="1651" t="str">
        <f>IF(AND(S11=1,S12=1),"If loss of motor function of both trigeminal nerves, see also OAR 436-035-0385 and 436-035-0420.","")</f>
        <v/>
      </c>
      <c r="C11" s="1024"/>
      <c r="D11" s="1645"/>
      <c r="E11" s="771" t="s">
        <v>111</v>
      </c>
      <c r="F11" s="772"/>
      <c r="G11" s="772"/>
      <c r="H11" s="772"/>
      <c r="I11" s="772"/>
      <c r="J11" s="772"/>
      <c r="K11" s="772"/>
      <c r="L11" s="772"/>
      <c r="M11" s="772"/>
      <c r="N11" s="772"/>
      <c r="O11" s="773"/>
      <c r="P11" s="21">
        <f>IF(S11=1,0.05,0)</f>
        <v>0</v>
      </c>
      <c r="R11" s="556" t="b">
        <v>0</v>
      </c>
      <c r="S11" s="556">
        <f>IF(R11=TRUE,1,0)</f>
        <v>0</v>
      </c>
      <c r="T11" s="151"/>
      <c r="U11" s="237"/>
      <c r="V11" s="7"/>
    </row>
    <row r="12" spans="1:170" ht="27" customHeight="1" x14ac:dyDescent="0.3">
      <c r="B12" s="1652"/>
      <c r="C12" s="1024"/>
      <c r="D12" s="1645"/>
      <c r="E12" s="771" t="s">
        <v>112</v>
      </c>
      <c r="F12" s="772"/>
      <c r="G12" s="772"/>
      <c r="H12" s="772"/>
      <c r="I12" s="772"/>
      <c r="J12" s="772"/>
      <c r="K12" s="772"/>
      <c r="L12" s="772"/>
      <c r="M12" s="772"/>
      <c r="N12" s="772"/>
      <c r="O12" s="773"/>
      <c r="P12" s="21">
        <f>IF(S12=1,0.05,0)</f>
        <v>0</v>
      </c>
      <c r="R12" s="556" t="b">
        <v>0</v>
      </c>
      <c r="S12" s="556">
        <f>IF(R12=TRUE,1,0)</f>
        <v>0</v>
      </c>
      <c r="T12" s="151"/>
      <c r="U12" s="237"/>
      <c r="V12" s="7"/>
    </row>
    <row r="13" spans="1:170" ht="27" customHeight="1" x14ac:dyDescent="0.3">
      <c r="B13" s="270" t="s">
        <v>2038</v>
      </c>
      <c r="C13" s="925"/>
      <c r="D13" s="925"/>
      <c r="E13" s="932" t="s">
        <v>1946</v>
      </c>
      <c r="F13" s="932"/>
      <c r="G13" s="932"/>
      <c r="H13" s="932"/>
      <c r="I13" s="932"/>
      <c r="J13" s="932"/>
      <c r="K13" s="932"/>
      <c r="L13" s="932"/>
      <c r="M13" s="932"/>
      <c r="N13" s="932"/>
      <c r="O13" s="932"/>
      <c r="P13" s="21">
        <v>0</v>
      </c>
      <c r="T13" s="151"/>
      <c r="U13" s="237"/>
      <c r="V13" s="7"/>
    </row>
    <row r="14" spans="1:170" ht="17.25" customHeight="1" x14ac:dyDescent="0.3">
      <c r="B14" s="1625" t="s">
        <v>2053</v>
      </c>
      <c r="C14" s="1650"/>
      <c r="D14" s="1650"/>
      <c r="E14" s="776" t="s">
        <v>1066</v>
      </c>
      <c r="F14" s="776"/>
      <c r="G14" s="776"/>
      <c r="H14" s="776"/>
      <c r="I14" s="776"/>
      <c r="J14" s="776"/>
      <c r="K14" s="776"/>
      <c r="L14" s="776"/>
      <c r="M14" s="776"/>
      <c r="N14" s="776"/>
      <c r="O14" s="776"/>
      <c r="P14" s="21">
        <f>IF(S14=1,0.03,0)</f>
        <v>0</v>
      </c>
      <c r="R14" s="556" t="b">
        <v>0</v>
      </c>
      <c r="S14" s="556">
        <f>IF(R14=TRUE,1,0)</f>
        <v>0</v>
      </c>
      <c r="T14" s="151"/>
      <c r="U14" s="237"/>
      <c r="V14" s="7"/>
    </row>
    <row r="15" spans="1:170" ht="24" customHeight="1" x14ac:dyDescent="0.3">
      <c r="B15" s="1626"/>
      <c r="C15" s="1641"/>
      <c r="D15" s="1642"/>
      <c r="E15" s="772" t="s">
        <v>1067</v>
      </c>
      <c r="F15" s="772"/>
      <c r="G15" s="772"/>
      <c r="H15" s="772"/>
      <c r="I15" s="772"/>
      <c r="J15" s="772"/>
      <c r="K15" s="772"/>
      <c r="L15" s="772"/>
      <c r="M15" s="772"/>
      <c r="N15" s="772"/>
      <c r="O15" s="773"/>
      <c r="P15" s="992">
        <f>IF(S16=2,0.05,IF(S16=3,0.15,IF(S16=4,0.2,IF(S16=5,0.45,0))))</f>
        <v>0</v>
      </c>
      <c r="T15" s="151"/>
      <c r="U15" s="237"/>
      <c r="V15" s="7"/>
    </row>
    <row r="16" spans="1:170" ht="24" customHeight="1" x14ac:dyDescent="0.3">
      <c r="B16" s="421"/>
      <c r="C16" s="1643"/>
      <c r="D16" s="1644"/>
      <c r="E16" s="772" t="s">
        <v>1068</v>
      </c>
      <c r="F16" s="772"/>
      <c r="G16" s="772"/>
      <c r="H16" s="772"/>
      <c r="I16" s="772"/>
      <c r="J16" s="772"/>
      <c r="K16" s="772"/>
      <c r="L16" s="772"/>
      <c r="M16" s="772"/>
      <c r="N16" s="772"/>
      <c r="O16" s="773"/>
      <c r="P16" s="1081"/>
      <c r="R16" s="146" t="s">
        <v>2296</v>
      </c>
      <c r="S16" s="556">
        <v>1</v>
      </c>
      <c r="T16" s="151"/>
      <c r="U16" s="237"/>
      <c r="V16" s="7"/>
    </row>
    <row r="17" spans="2:22" ht="24" customHeight="1" x14ac:dyDescent="0.3">
      <c r="B17" s="421"/>
      <c r="C17" s="1643"/>
      <c r="D17" s="1644"/>
      <c r="E17" s="772" t="s">
        <v>1299</v>
      </c>
      <c r="F17" s="772"/>
      <c r="G17" s="772"/>
      <c r="H17" s="772"/>
      <c r="I17" s="772"/>
      <c r="J17" s="772"/>
      <c r="K17" s="772"/>
      <c r="L17" s="772"/>
      <c r="M17" s="772"/>
      <c r="N17" s="772"/>
      <c r="O17" s="773"/>
      <c r="P17" s="1081"/>
      <c r="T17" s="151"/>
      <c r="U17" s="237"/>
      <c r="V17" s="7"/>
    </row>
    <row r="18" spans="2:22" ht="24" customHeight="1" x14ac:dyDescent="0.3">
      <c r="B18" s="421"/>
      <c r="C18" s="1643"/>
      <c r="D18" s="1644"/>
      <c r="E18" s="772" t="s">
        <v>1300</v>
      </c>
      <c r="F18" s="772"/>
      <c r="G18" s="772"/>
      <c r="H18" s="772"/>
      <c r="I18" s="772"/>
      <c r="J18" s="772"/>
      <c r="K18" s="772"/>
      <c r="L18" s="772"/>
      <c r="M18" s="772"/>
      <c r="N18" s="772"/>
      <c r="O18" s="773"/>
      <c r="P18" s="1081"/>
      <c r="T18" s="151"/>
      <c r="U18" s="237"/>
      <c r="V18" s="7"/>
    </row>
    <row r="19" spans="2:22" ht="24" customHeight="1" x14ac:dyDescent="0.3">
      <c r="B19" s="431"/>
      <c r="C19" s="1024"/>
      <c r="D19" s="1645"/>
      <c r="E19" s="771" t="s">
        <v>1126</v>
      </c>
      <c r="F19" s="772"/>
      <c r="G19" s="772"/>
      <c r="H19" s="772"/>
      <c r="I19" s="772"/>
      <c r="J19" s="772"/>
      <c r="K19" s="772"/>
      <c r="L19" s="772"/>
      <c r="M19" s="772"/>
      <c r="N19" s="772"/>
      <c r="O19" s="773"/>
      <c r="P19" s="1082"/>
      <c r="T19" s="151"/>
      <c r="U19" s="237"/>
      <c r="V19" s="7"/>
    </row>
    <row r="20" spans="2:22" ht="18" customHeight="1" x14ac:dyDescent="0.3">
      <c r="B20" s="1625" t="s">
        <v>2052</v>
      </c>
      <c r="C20" s="847"/>
      <c r="D20" s="847"/>
      <c r="E20" s="1106" t="s">
        <v>877</v>
      </c>
      <c r="F20" s="1107"/>
      <c r="G20" s="1107"/>
      <c r="H20" s="1107"/>
      <c r="I20" s="1107"/>
      <c r="J20" s="1107"/>
      <c r="K20" s="1107"/>
      <c r="L20" s="1107"/>
      <c r="M20" s="1107"/>
      <c r="N20" s="1107"/>
      <c r="O20" s="1108"/>
      <c r="P20" s="21">
        <v>0</v>
      </c>
      <c r="T20" s="151"/>
      <c r="U20" s="237"/>
      <c r="V20" s="7"/>
    </row>
    <row r="21" spans="2:22" ht="27" customHeight="1" x14ac:dyDescent="0.3">
      <c r="B21" s="1626"/>
      <c r="C21" s="1641"/>
      <c r="D21" s="1642"/>
      <c r="E21" s="771" t="s">
        <v>878</v>
      </c>
      <c r="F21" s="772"/>
      <c r="G21" s="772"/>
      <c r="H21" s="772"/>
      <c r="I21" s="772"/>
      <c r="J21" s="772"/>
      <c r="K21" s="772"/>
      <c r="L21" s="772"/>
      <c r="M21" s="772"/>
      <c r="N21" s="772"/>
      <c r="O21" s="773"/>
      <c r="P21" s="992">
        <f>IF(S21=2,0.08,IF(S21=3,0.23,IF(S21=4,0.48,IF(S21=5,0.8,0))))</f>
        <v>0</v>
      </c>
      <c r="R21" s="146" t="s">
        <v>2296</v>
      </c>
      <c r="S21" s="556">
        <v>1</v>
      </c>
      <c r="T21" s="151"/>
      <c r="U21" s="237"/>
      <c r="V21" s="7"/>
    </row>
    <row r="22" spans="2:22" ht="39.75" customHeight="1" x14ac:dyDescent="0.3">
      <c r="B22" s="421"/>
      <c r="C22" s="1643"/>
      <c r="D22" s="1644"/>
      <c r="E22" s="772" t="s">
        <v>2032</v>
      </c>
      <c r="F22" s="772"/>
      <c r="G22" s="772"/>
      <c r="H22" s="772"/>
      <c r="I22" s="772"/>
      <c r="J22" s="772"/>
      <c r="K22" s="772"/>
      <c r="L22" s="772"/>
      <c r="M22" s="772"/>
      <c r="N22" s="772"/>
      <c r="O22" s="773"/>
      <c r="P22" s="1081"/>
      <c r="T22" s="151"/>
      <c r="U22" s="237"/>
      <c r="V22" s="7"/>
    </row>
    <row r="23" spans="2:22" ht="51.75" customHeight="1" x14ac:dyDescent="0.3">
      <c r="B23" s="421"/>
      <c r="C23" s="1643"/>
      <c r="D23" s="1644"/>
      <c r="E23" s="772" t="s">
        <v>2033</v>
      </c>
      <c r="F23" s="772"/>
      <c r="G23" s="772"/>
      <c r="H23" s="772"/>
      <c r="I23" s="772"/>
      <c r="J23" s="772"/>
      <c r="K23" s="772"/>
      <c r="L23" s="772"/>
      <c r="M23" s="772"/>
      <c r="N23" s="772"/>
      <c r="O23" s="773"/>
      <c r="P23" s="1081"/>
      <c r="T23" s="151"/>
      <c r="U23" s="237"/>
      <c r="V23" s="7"/>
    </row>
    <row r="24" spans="2:22" ht="40.5" customHeight="1" x14ac:dyDescent="0.3">
      <c r="B24" s="421"/>
      <c r="C24" s="1643"/>
      <c r="D24" s="1644"/>
      <c r="E24" s="772" t="s">
        <v>2034</v>
      </c>
      <c r="F24" s="772"/>
      <c r="G24" s="772"/>
      <c r="H24" s="772"/>
      <c r="I24" s="772"/>
      <c r="J24" s="772"/>
      <c r="K24" s="772"/>
      <c r="L24" s="772"/>
      <c r="M24" s="772"/>
      <c r="N24" s="772"/>
      <c r="O24" s="773"/>
      <c r="P24" s="1081"/>
      <c r="T24" s="151"/>
      <c r="U24" s="237"/>
      <c r="V24" s="7"/>
    </row>
    <row r="25" spans="2:22" ht="38.25" customHeight="1" x14ac:dyDescent="0.3">
      <c r="B25" s="421"/>
      <c r="C25" s="1024"/>
      <c r="D25" s="1645"/>
      <c r="E25" s="772" t="s">
        <v>2035</v>
      </c>
      <c r="F25" s="772"/>
      <c r="G25" s="772"/>
      <c r="H25" s="772"/>
      <c r="I25" s="772"/>
      <c r="J25" s="772"/>
      <c r="K25" s="772"/>
      <c r="L25" s="772"/>
      <c r="M25" s="772"/>
      <c r="N25" s="772"/>
      <c r="O25" s="773"/>
      <c r="P25" s="1082"/>
      <c r="R25" s="128" t="s">
        <v>2295</v>
      </c>
      <c r="S25" s="128" t="s">
        <v>2292</v>
      </c>
      <c r="T25" s="151"/>
      <c r="U25" s="237"/>
      <c r="V25" s="7"/>
    </row>
    <row r="26" spans="2:22" ht="27" customHeight="1" x14ac:dyDescent="0.3">
      <c r="B26" s="431"/>
      <c r="C26" s="1083"/>
      <c r="D26" s="1022"/>
      <c r="E26" s="771" t="s">
        <v>1301</v>
      </c>
      <c r="F26" s="772"/>
      <c r="G26" s="772"/>
      <c r="H26" s="772"/>
      <c r="I26" s="772"/>
      <c r="J26" s="772"/>
      <c r="K26" s="772"/>
      <c r="L26" s="772"/>
      <c r="M26" s="772"/>
      <c r="N26" s="772"/>
      <c r="O26" s="773"/>
      <c r="P26" s="21">
        <f>IF(S26=1,0.05,0)</f>
        <v>0</v>
      </c>
      <c r="R26" s="556" t="b">
        <v>0</v>
      </c>
      <c r="S26" s="556">
        <f>IF(R26=TRUE,1,0)</f>
        <v>0</v>
      </c>
      <c r="T26" s="151"/>
      <c r="U26" s="237"/>
      <c r="V26" s="7"/>
    </row>
    <row r="27" spans="2:22" ht="12" customHeight="1" x14ac:dyDescent="0.3">
      <c r="B27" s="348"/>
      <c r="C27" s="1"/>
      <c r="D27" s="1"/>
      <c r="E27" s="39"/>
      <c r="F27" s="39"/>
      <c r="G27" s="39"/>
      <c r="H27" s="39"/>
      <c r="I27" s="39"/>
      <c r="J27" s="39"/>
      <c r="K27" s="39"/>
      <c r="L27" s="39"/>
      <c r="M27" s="39"/>
      <c r="N27" s="39"/>
      <c r="O27" s="39"/>
      <c r="P27" s="220"/>
      <c r="R27" s="15"/>
      <c r="S27" s="15"/>
      <c r="T27" s="17"/>
      <c r="U27" s="237"/>
      <c r="V27" s="7"/>
    </row>
    <row r="28" spans="2:22" ht="36" customHeight="1" x14ac:dyDescent="0.3">
      <c r="B28" s="1625" t="s">
        <v>2036</v>
      </c>
      <c r="C28" s="925"/>
      <c r="D28" s="925"/>
      <c r="E28" s="1647" t="s">
        <v>1302</v>
      </c>
      <c r="F28" s="1648"/>
      <c r="G28" s="1648"/>
      <c r="H28" s="1648"/>
      <c r="I28" s="1648"/>
      <c r="J28" s="1648"/>
      <c r="K28" s="1648"/>
      <c r="L28" s="1648"/>
      <c r="M28" s="1648"/>
      <c r="N28" s="1648"/>
      <c r="O28" s="1649"/>
      <c r="P28" s="21">
        <v>0</v>
      </c>
      <c r="T28" s="151"/>
      <c r="U28" s="237"/>
      <c r="V28" s="7"/>
    </row>
    <row r="29" spans="2:22" ht="36.75" customHeight="1" x14ac:dyDescent="0.3">
      <c r="B29" s="1646"/>
      <c r="C29" s="847"/>
      <c r="D29" s="847"/>
      <c r="E29" s="1647" t="s">
        <v>103</v>
      </c>
      <c r="F29" s="1648"/>
      <c r="G29" s="1648"/>
      <c r="H29" s="1648"/>
      <c r="I29" s="1648"/>
      <c r="J29" s="1648"/>
      <c r="K29" s="1648"/>
      <c r="L29" s="1648"/>
      <c r="M29" s="1648"/>
      <c r="N29" s="1648"/>
      <c r="O29" s="1649"/>
      <c r="P29" s="21">
        <v>0</v>
      </c>
    </row>
    <row r="30" spans="2:22" ht="27" customHeight="1" x14ac:dyDescent="0.3">
      <c r="B30" s="270" t="s">
        <v>2037</v>
      </c>
      <c r="C30" s="925"/>
      <c r="D30" s="925"/>
      <c r="E30" s="771" t="s">
        <v>528</v>
      </c>
      <c r="F30" s="772"/>
      <c r="G30" s="772"/>
      <c r="H30" s="772"/>
      <c r="I30" s="772"/>
      <c r="J30" s="772"/>
      <c r="K30" s="772"/>
      <c r="L30" s="772"/>
      <c r="M30" s="772"/>
      <c r="N30" s="772"/>
      <c r="O30" s="773"/>
      <c r="P30" s="21">
        <v>0</v>
      </c>
    </row>
    <row r="31" spans="2:22" ht="27" customHeight="1" x14ac:dyDescent="0.3">
      <c r="B31" s="1625" t="s">
        <v>2049</v>
      </c>
      <c r="C31" s="1641"/>
      <c r="D31" s="1642"/>
      <c r="E31" s="771" t="s">
        <v>1281</v>
      </c>
      <c r="F31" s="772"/>
      <c r="G31" s="772"/>
      <c r="H31" s="772"/>
      <c r="I31" s="772"/>
      <c r="J31" s="772"/>
      <c r="K31" s="772"/>
      <c r="L31" s="772"/>
      <c r="M31" s="772"/>
      <c r="N31" s="772"/>
      <c r="O31" s="773"/>
      <c r="P31" s="992">
        <f>IF(R32=2,0.1,IF(R32=3,0.3,IF(R32=4,0.5,IF(R32=5,0.75,IF(R32=6,0.85,IF(R32=7,0.95,0))))))</f>
        <v>0</v>
      </c>
    </row>
    <row r="32" spans="2:22" ht="27" customHeight="1" x14ac:dyDescent="0.3">
      <c r="B32" s="1626"/>
      <c r="C32" s="1643"/>
      <c r="D32" s="1644"/>
      <c r="E32" s="771" t="s">
        <v>1968</v>
      </c>
      <c r="F32" s="772"/>
      <c r="G32" s="772"/>
      <c r="H32" s="772"/>
      <c r="I32" s="772"/>
      <c r="J32" s="772"/>
      <c r="K32" s="772"/>
      <c r="L32" s="772"/>
      <c r="M32" s="772"/>
      <c r="N32" s="772"/>
      <c r="O32" s="773"/>
      <c r="P32" s="1081"/>
      <c r="R32" s="556">
        <v>1</v>
      </c>
      <c r="S32" s="128" t="s">
        <v>2293</v>
      </c>
    </row>
    <row r="33" spans="2:22" ht="27" customHeight="1" x14ac:dyDescent="0.3">
      <c r="B33" s="1626"/>
      <c r="C33" s="1643"/>
      <c r="D33" s="1644"/>
      <c r="E33" s="771" t="s">
        <v>1969</v>
      </c>
      <c r="F33" s="772"/>
      <c r="G33" s="772"/>
      <c r="H33" s="772"/>
      <c r="I33" s="772"/>
      <c r="J33" s="772"/>
      <c r="K33" s="772"/>
      <c r="L33" s="772"/>
      <c r="M33" s="772"/>
      <c r="N33" s="772"/>
      <c r="O33" s="773"/>
      <c r="P33" s="1081"/>
    </row>
    <row r="34" spans="2:22" ht="27" customHeight="1" x14ac:dyDescent="0.3">
      <c r="B34" s="1626"/>
      <c r="C34" s="1643"/>
      <c r="D34" s="1644"/>
      <c r="E34" s="771" t="s">
        <v>1971</v>
      </c>
      <c r="F34" s="772"/>
      <c r="G34" s="772"/>
      <c r="H34" s="772"/>
      <c r="I34" s="772"/>
      <c r="J34" s="772"/>
      <c r="K34" s="772"/>
      <c r="L34" s="772"/>
      <c r="M34" s="772"/>
      <c r="N34" s="772"/>
      <c r="O34" s="773"/>
      <c r="P34" s="1081"/>
    </row>
    <row r="35" spans="2:22" ht="27" customHeight="1" x14ac:dyDescent="0.3">
      <c r="B35" s="1626"/>
      <c r="C35" s="1643"/>
      <c r="D35" s="1644"/>
      <c r="E35" s="771" t="s">
        <v>945</v>
      </c>
      <c r="F35" s="772"/>
      <c r="G35" s="772"/>
      <c r="H35" s="772"/>
      <c r="I35" s="772"/>
      <c r="J35" s="772"/>
      <c r="K35" s="772"/>
      <c r="L35" s="772"/>
      <c r="M35" s="772"/>
      <c r="N35" s="772"/>
      <c r="O35" s="773"/>
      <c r="P35" s="1081"/>
    </row>
    <row r="36" spans="2:22" ht="27" customHeight="1" x14ac:dyDescent="0.3">
      <c r="B36" s="1626"/>
      <c r="C36" s="1643"/>
      <c r="D36" s="1644"/>
      <c r="E36" s="771" t="s">
        <v>558</v>
      </c>
      <c r="F36" s="772"/>
      <c r="G36" s="772"/>
      <c r="H36" s="772"/>
      <c r="I36" s="772"/>
      <c r="J36" s="772"/>
      <c r="K36" s="772"/>
      <c r="L36" s="772"/>
      <c r="M36" s="772"/>
      <c r="N36" s="772"/>
      <c r="O36" s="773"/>
      <c r="P36" s="1081"/>
    </row>
    <row r="37" spans="2:22" ht="27" customHeight="1" x14ac:dyDescent="0.3">
      <c r="B37" s="1646"/>
      <c r="C37" s="1024"/>
      <c r="D37" s="1645"/>
      <c r="E37" s="771" t="s">
        <v>2044</v>
      </c>
      <c r="F37" s="772"/>
      <c r="G37" s="772"/>
      <c r="H37" s="772"/>
      <c r="I37" s="772"/>
      <c r="J37" s="772"/>
      <c r="K37" s="772"/>
      <c r="L37" s="772"/>
      <c r="M37" s="772"/>
      <c r="N37" s="772"/>
      <c r="O37" s="773"/>
      <c r="P37" s="1082"/>
      <c r="R37" s="128" t="s">
        <v>2295</v>
      </c>
      <c r="S37" s="128" t="s">
        <v>2292</v>
      </c>
      <c r="T37" s="151"/>
    </row>
    <row r="38" spans="2:22" ht="103.5" customHeight="1" x14ac:dyDescent="0.3">
      <c r="B38" s="535" t="s">
        <v>2051</v>
      </c>
      <c r="C38" s="1653"/>
      <c r="D38" s="1654"/>
      <c r="E38" s="771" t="s">
        <v>2050</v>
      </c>
      <c r="F38" s="772"/>
      <c r="G38" s="772"/>
      <c r="H38" s="772"/>
      <c r="I38" s="772"/>
      <c r="J38" s="772"/>
      <c r="K38" s="772"/>
      <c r="L38" s="772"/>
      <c r="M38" s="772"/>
      <c r="N38" s="772"/>
      <c r="O38" s="773"/>
      <c r="P38" s="536">
        <f>IF(S38=1,0.1,0)</f>
        <v>0</v>
      </c>
      <c r="R38" s="556" t="b">
        <v>0</v>
      </c>
      <c r="S38" s="556">
        <f>IF(R38=TRUE,1,0)</f>
        <v>0</v>
      </c>
    </row>
    <row r="39" spans="2:22" ht="12" customHeight="1" x14ac:dyDescent="0.3">
      <c r="B39" s="309"/>
      <c r="C39" s="534"/>
      <c r="D39" s="534"/>
      <c r="E39" s="534"/>
      <c r="F39" s="534"/>
      <c r="G39" s="534"/>
      <c r="H39" s="534"/>
      <c r="I39" s="534"/>
      <c r="J39" s="534"/>
      <c r="K39" s="534"/>
      <c r="L39" s="534"/>
      <c r="M39" s="534"/>
      <c r="N39" s="534"/>
      <c r="O39" s="175"/>
      <c r="P39" s="273"/>
    </row>
    <row r="40" spans="2:22" ht="30" customHeight="1" x14ac:dyDescent="0.3">
      <c r="B40" s="879" t="s">
        <v>1817</v>
      </c>
      <c r="C40" s="1038"/>
      <c r="D40" s="1038"/>
      <c r="E40" s="1038"/>
      <c r="F40" s="1038"/>
      <c r="G40" s="1038"/>
      <c r="H40" s="1038"/>
      <c r="I40" s="1038"/>
      <c r="J40" s="1038"/>
      <c r="K40" s="1038"/>
      <c r="L40" s="1038"/>
      <c r="M40" s="1038"/>
      <c r="N40" s="1002"/>
      <c r="O40" s="19" t="s">
        <v>1524</v>
      </c>
      <c r="P40" s="319" t="s">
        <v>1303</v>
      </c>
      <c r="S40" s="13" t="s">
        <v>1304</v>
      </c>
      <c r="T40" s="13" t="s">
        <v>1305</v>
      </c>
      <c r="U40" s="13" t="s">
        <v>1306</v>
      </c>
      <c r="V40" s="19" t="s">
        <v>1025</v>
      </c>
    </row>
    <row r="41" spans="2:22" ht="18" customHeight="1" x14ac:dyDescent="0.3">
      <c r="B41" s="806" t="s">
        <v>38</v>
      </c>
      <c r="C41" s="806"/>
      <c r="D41" s="806"/>
      <c r="E41" s="806"/>
      <c r="F41" s="806"/>
      <c r="G41" s="806"/>
      <c r="H41" s="806"/>
      <c r="I41" s="806"/>
      <c r="J41" s="806"/>
      <c r="K41" s="806"/>
      <c r="L41" s="770">
        <f>P4</f>
        <v>0</v>
      </c>
      <c r="M41" s="770"/>
      <c r="N41" s="770"/>
      <c r="O41" s="216"/>
      <c r="P41" s="248">
        <f>IF(AND(V41&gt;0,V41&lt;0.01),0.01,ROUND(V41,2))</f>
        <v>0</v>
      </c>
      <c r="S41" s="408">
        <f>LARGE($P$41:$P$50,1)</f>
        <v>0</v>
      </c>
      <c r="T41" s="408">
        <f>S41+S42*(1-S41)</f>
        <v>0</v>
      </c>
      <c r="U41" s="394">
        <f>ROUND(T41,2)</f>
        <v>0</v>
      </c>
      <c r="V41" s="681">
        <f>IF(O41="",L41,L41*O41)</f>
        <v>0</v>
      </c>
    </row>
    <row r="42" spans="2:22" ht="18" customHeight="1" x14ac:dyDescent="0.3">
      <c r="B42" s="776" t="s">
        <v>39</v>
      </c>
      <c r="C42" s="776"/>
      <c r="D42" s="776"/>
      <c r="E42" s="776"/>
      <c r="F42" s="776"/>
      <c r="G42" s="776"/>
      <c r="H42" s="776"/>
      <c r="I42" s="776"/>
      <c r="J42" s="776"/>
      <c r="K42" s="776"/>
      <c r="L42" s="770">
        <f>P8</f>
        <v>0</v>
      </c>
      <c r="M42" s="770"/>
      <c r="N42" s="770"/>
      <c r="O42" s="216"/>
      <c r="P42" s="248">
        <f t="shared" ref="P42:P50" si="0">IF(AND(V42&gt;0,V42&lt;0.01),0.01,ROUND(V42,2))</f>
        <v>0</v>
      </c>
      <c r="S42" s="408">
        <f>LARGE($P$41:$P$50,2)</f>
        <v>0</v>
      </c>
      <c r="T42" s="408">
        <f>U41+S43*(1-U41)</f>
        <v>0</v>
      </c>
      <c r="U42" s="394">
        <f>ROUND(T42,2)</f>
        <v>0</v>
      </c>
      <c r="V42" s="681">
        <f t="shared" ref="V42:V50" si="1">IF(O42="",L42,L42*O42)</f>
        <v>0</v>
      </c>
    </row>
    <row r="43" spans="2:22" ht="18" customHeight="1" x14ac:dyDescent="0.3">
      <c r="B43" s="771" t="s">
        <v>1614</v>
      </c>
      <c r="C43" s="772"/>
      <c r="D43" s="772"/>
      <c r="E43" s="772"/>
      <c r="F43" s="772"/>
      <c r="G43" s="772"/>
      <c r="H43" s="772"/>
      <c r="I43" s="772"/>
      <c r="J43" s="772"/>
      <c r="K43" s="773"/>
      <c r="L43" s="770">
        <f>P11</f>
        <v>0</v>
      </c>
      <c r="M43" s="770"/>
      <c r="N43" s="770"/>
      <c r="O43" s="216"/>
      <c r="P43" s="248">
        <f t="shared" si="0"/>
        <v>0</v>
      </c>
      <c r="S43" s="408">
        <f>LARGE($P$41:$P$50,3)</f>
        <v>0</v>
      </c>
      <c r="T43" s="408">
        <f t="shared" ref="T43:T49" si="2">U42+S44*(1-U42)</f>
        <v>0</v>
      </c>
      <c r="U43" s="394">
        <f t="shared" ref="U43:U49" si="3">ROUND(T43,2)</f>
        <v>0</v>
      </c>
      <c r="V43" s="681">
        <f t="shared" si="1"/>
        <v>0</v>
      </c>
    </row>
    <row r="44" spans="2:22" ht="18" customHeight="1" x14ac:dyDescent="0.3">
      <c r="B44" s="771" t="s">
        <v>1615</v>
      </c>
      <c r="C44" s="772"/>
      <c r="D44" s="772"/>
      <c r="E44" s="772"/>
      <c r="F44" s="772"/>
      <c r="G44" s="772"/>
      <c r="H44" s="772"/>
      <c r="I44" s="772"/>
      <c r="J44" s="772"/>
      <c r="K44" s="773"/>
      <c r="L44" s="770">
        <f>P12</f>
        <v>0</v>
      </c>
      <c r="M44" s="770"/>
      <c r="N44" s="770"/>
      <c r="O44" s="216"/>
      <c r="P44" s="248">
        <f>IF(AND(V44&gt;0,V44&lt;0.01),0.01,ROUND(V44,2))</f>
        <v>0</v>
      </c>
      <c r="S44" s="408">
        <f>LARGE($P$41:$P$50,4)</f>
        <v>0</v>
      </c>
      <c r="T44" s="408">
        <f t="shared" si="2"/>
        <v>0</v>
      </c>
      <c r="U44" s="394">
        <f t="shared" si="3"/>
        <v>0</v>
      </c>
      <c r="V44" s="681">
        <f t="shared" si="1"/>
        <v>0</v>
      </c>
    </row>
    <row r="45" spans="2:22" ht="18" customHeight="1" x14ac:dyDescent="0.3">
      <c r="B45" s="771" t="s">
        <v>40</v>
      </c>
      <c r="C45" s="772"/>
      <c r="D45" s="772"/>
      <c r="E45" s="772"/>
      <c r="F45" s="772"/>
      <c r="G45" s="772"/>
      <c r="H45" s="772"/>
      <c r="I45" s="772"/>
      <c r="J45" s="772"/>
      <c r="K45" s="773"/>
      <c r="L45" s="770">
        <f>P14</f>
        <v>0</v>
      </c>
      <c r="M45" s="770"/>
      <c r="N45" s="770"/>
      <c r="O45" s="216"/>
      <c r="P45" s="248">
        <f t="shared" si="0"/>
        <v>0</v>
      </c>
      <c r="S45" s="408">
        <f>LARGE($P$41:$P$50,5)</f>
        <v>0</v>
      </c>
      <c r="T45" s="408">
        <f t="shared" si="2"/>
        <v>0</v>
      </c>
      <c r="U45" s="394">
        <f t="shared" si="3"/>
        <v>0</v>
      </c>
      <c r="V45" s="681">
        <f t="shared" si="1"/>
        <v>0</v>
      </c>
    </row>
    <row r="46" spans="2:22" ht="18" customHeight="1" x14ac:dyDescent="0.3">
      <c r="B46" s="771" t="s">
        <v>41</v>
      </c>
      <c r="C46" s="772"/>
      <c r="D46" s="772"/>
      <c r="E46" s="772"/>
      <c r="F46" s="772"/>
      <c r="G46" s="772"/>
      <c r="H46" s="772"/>
      <c r="I46" s="772"/>
      <c r="J46" s="772"/>
      <c r="K46" s="773"/>
      <c r="L46" s="770">
        <f>P15</f>
        <v>0</v>
      </c>
      <c r="M46" s="770"/>
      <c r="N46" s="770"/>
      <c r="O46" s="216"/>
      <c r="P46" s="248">
        <f t="shared" si="0"/>
        <v>0</v>
      </c>
      <c r="S46" s="408">
        <f>LARGE($P$41:$P$50,6)</f>
        <v>0</v>
      </c>
      <c r="T46" s="408">
        <f t="shared" si="2"/>
        <v>0</v>
      </c>
      <c r="U46" s="394">
        <f t="shared" si="3"/>
        <v>0</v>
      </c>
      <c r="V46" s="681">
        <f t="shared" si="1"/>
        <v>0</v>
      </c>
    </row>
    <row r="47" spans="2:22" ht="18" customHeight="1" x14ac:dyDescent="0.3">
      <c r="B47" s="771" t="s">
        <v>42</v>
      </c>
      <c r="C47" s="772"/>
      <c r="D47" s="772"/>
      <c r="E47" s="772"/>
      <c r="F47" s="772"/>
      <c r="G47" s="772"/>
      <c r="H47" s="772"/>
      <c r="I47" s="772"/>
      <c r="J47" s="772"/>
      <c r="K47" s="773"/>
      <c r="L47" s="770">
        <f>P21</f>
        <v>0</v>
      </c>
      <c r="M47" s="770"/>
      <c r="N47" s="770"/>
      <c r="O47" s="216"/>
      <c r="P47" s="248">
        <f t="shared" si="0"/>
        <v>0</v>
      </c>
      <c r="S47" s="408">
        <f>LARGE($P$41:$P$50,7)</f>
        <v>0</v>
      </c>
      <c r="T47" s="408">
        <f t="shared" si="2"/>
        <v>0</v>
      </c>
      <c r="U47" s="394">
        <f t="shared" si="3"/>
        <v>0</v>
      </c>
      <c r="V47" s="681">
        <f t="shared" si="1"/>
        <v>0</v>
      </c>
    </row>
    <row r="48" spans="2:22" ht="18" customHeight="1" x14ac:dyDescent="0.3">
      <c r="B48" s="771" t="s">
        <v>43</v>
      </c>
      <c r="C48" s="772"/>
      <c r="D48" s="772"/>
      <c r="E48" s="772"/>
      <c r="F48" s="772"/>
      <c r="G48" s="772"/>
      <c r="H48" s="772"/>
      <c r="I48" s="772"/>
      <c r="J48" s="772"/>
      <c r="K48" s="773"/>
      <c r="L48" s="770">
        <f>P26</f>
        <v>0</v>
      </c>
      <c r="M48" s="770"/>
      <c r="N48" s="770"/>
      <c r="O48" s="216"/>
      <c r="P48" s="248">
        <f t="shared" si="0"/>
        <v>0</v>
      </c>
      <c r="S48" s="408">
        <f>LARGE($P$41:$P$50,8)</f>
        <v>0</v>
      </c>
      <c r="T48" s="408">
        <f t="shared" si="2"/>
        <v>0</v>
      </c>
      <c r="U48" s="394">
        <f t="shared" si="3"/>
        <v>0</v>
      </c>
      <c r="V48" s="681">
        <f t="shared" si="1"/>
        <v>0</v>
      </c>
    </row>
    <row r="49" spans="2:22" ht="18" customHeight="1" x14ac:dyDescent="0.3">
      <c r="B49" s="771" t="s">
        <v>2132</v>
      </c>
      <c r="C49" s="772"/>
      <c r="D49" s="772"/>
      <c r="E49" s="772"/>
      <c r="F49" s="772"/>
      <c r="G49" s="772"/>
      <c r="H49" s="772"/>
      <c r="I49" s="772"/>
      <c r="J49" s="772"/>
      <c r="K49" s="773"/>
      <c r="L49" s="770">
        <f>P31</f>
        <v>0</v>
      </c>
      <c r="M49" s="770"/>
      <c r="N49" s="770"/>
      <c r="O49" s="216"/>
      <c r="P49" s="248">
        <f t="shared" si="0"/>
        <v>0</v>
      </c>
      <c r="S49" s="408">
        <f>LARGE($P$41:$P$50,9)</f>
        <v>0</v>
      </c>
      <c r="T49" s="408">
        <f t="shared" si="2"/>
        <v>0</v>
      </c>
      <c r="U49" s="394">
        <f t="shared" si="3"/>
        <v>0</v>
      </c>
      <c r="V49" s="681">
        <f t="shared" si="1"/>
        <v>0</v>
      </c>
    </row>
    <row r="50" spans="2:22" ht="18" customHeight="1" x14ac:dyDescent="0.3">
      <c r="B50" s="757" t="s">
        <v>2045</v>
      </c>
      <c r="C50" s="758"/>
      <c r="D50" s="758"/>
      <c r="E50" s="758"/>
      <c r="F50" s="758"/>
      <c r="G50" s="758"/>
      <c r="H50" s="758"/>
      <c r="I50" s="758"/>
      <c r="J50" s="758"/>
      <c r="K50" s="759"/>
      <c r="L50" s="1655">
        <f>P38</f>
        <v>0</v>
      </c>
      <c r="M50" s="1656"/>
      <c r="N50" s="1657"/>
      <c r="O50" s="216"/>
      <c r="P50" s="248">
        <f t="shared" si="0"/>
        <v>0</v>
      </c>
      <c r="S50" s="408">
        <f>LARGE($P$41:$P$50,10)</f>
        <v>0</v>
      </c>
      <c r="T50" s="7"/>
      <c r="V50" s="681">
        <f t="shared" si="1"/>
        <v>0</v>
      </c>
    </row>
    <row r="51" spans="2:22" ht="18" customHeight="1" x14ac:dyDescent="0.3">
      <c r="B51" s="1030" t="s">
        <v>1282</v>
      </c>
      <c r="C51" s="1031"/>
      <c r="D51" s="1031"/>
      <c r="E51" s="1031"/>
      <c r="F51" s="1031"/>
      <c r="G51" s="1031"/>
      <c r="H51" s="1031"/>
      <c r="I51" s="1031"/>
      <c r="J51" s="1031"/>
      <c r="K51" s="1031"/>
      <c r="L51" s="1031"/>
      <c r="M51" s="1031"/>
      <c r="N51" s="1031"/>
      <c r="O51" s="1032"/>
      <c r="P51" s="250">
        <f>U49</f>
        <v>0</v>
      </c>
      <c r="T51" s="151"/>
      <c r="U51" s="237"/>
      <c r="V51" s="7"/>
    </row>
    <row r="52" spans="2:22" ht="33" customHeight="1" x14ac:dyDescent="0.35">
      <c r="B52" s="1049" t="s">
        <v>947</v>
      </c>
      <c r="C52" s="1049"/>
      <c r="D52" s="1049"/>
      <c r="E52" s="1049"/>
      <c r="F52" s="1049"/>
      <c r="G52" s="1049"/>
      <c r="H52" s="1049"/>
      <c r="I52" s="1049"/>
      <c r="J52" s="1049"/>
      <c r="K52" s="1049"/>
      <c r="L52" s="1049"/>
      <c r="M52" s="1049"/>
      <c r="N52" s="1049"/>
      <c r="O52" s="1049"/>
      <c r="P52" s="1049"/>
    </row>
    <row r="53" spans="2:22" x14ac:dyDescent="0.3">
      <c r="B53" s="247" t="s">
        <v>790</v>
      </c>
      <c r="C53" s="1336" t="str">
        <f>IF(U1&lt;&gt;"",U1,"")</f>
        <v>Go to PPD Worksheet</v>
      </c>
      <c r="D53" s="1336"/>
      <c r="E53" s="1336"/>
      <c r="F53" s="1336"/>
      <c r="G53" s="1336"/>
      <c r="H53" s="1336"/>
      <c r="I53" s="1527" t="str">
        <f>IF(T1&lt;&gt;"",T1,"")</f>
        <v/>
      </c>
      <c r="J53" s="1527"/>
      <c r="K53" s="1527"/>
      <c r="L53" s="1527"/>
      <c r="M53" s="1527"/>
      <c r="N53" s="1527"/>
      <c r="P53" s="15"/>
    </row>
    <row r="55" spans="2:22" hidden="1" x14ac:dyDescent="0.3">
      <c r="B55" s="2">
        <v>0.01</v>
      </c>
      <c r="C55" s="2">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1222" yWindow="615"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336550</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336550</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336550</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12700</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19050</xdr:colOff>
                    <xdr:row>20</xdr:row>
                    <xdr:rowOff>330200</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19050</xdr:colOff>
                    <xdr:row>21</xdr:row>
                    <xdr:rowOff>419100</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393700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254000</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298450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31750</xdr:colOff>
                    <xdr:row>30</xdr:row>
                    <xdr:rowOff>152400</xdr:rowOff>
                  </from>
                  <to>
                    <xdr:col>4</xdr:col>
                    <xdr:colOff>12700</xdr:colOff>
                    <xdr:row>31</xdr:row>
                    <xdr:rowOff>25400</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31750</xdr:colOff>
                    <xdr:row>31</xdr:row>
                    <xdr:rowOff>133350</xdr:rowOff>
                  </from>
                  <to>
                    <xdr:col>4</xdr:col>
                    <xdr:colOff>12700</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31750</xdr:colOff>
                    <xdr:row>32</xdr:row>
                    <xdr:rowOff>139700</xdr:rowOff>
                  </from>
                  <to>
                    <xdr:col>4</xdr:col>
                    <xdr:colOff>12700</xdr:colOff>
                    <xdr:row>33</xdr:row>
                    <xdr:rowOff>12700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31750</xdr:colOff>
                    <xdr:row>33</xdr:row>
                    <xdr:rowOff>127000</xdr:rowOff>
                  </from>
                  <to>
                    <xdr:col>4</xdr:col>
                    <xdr:colOff>12700</xdr:colOff>
                    <xdr:row>34</xdr:row>
                    <xdr:rowOff>6350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31750</xdr:colOff>
                    <xdr:row>34</xdr:row>
                    <xdr:rowOff>139700</xdr:rowOff>
                  </from>
                  <to>
                    <xdr:col>4</xdr:col>
                    <xdr:colOff>12700</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31750</xdr:colOff>
                    <xdr:row>35</xdr:row>
                    <xdr:rowOff>107950</xdr:rowOff>
                  </from>
                  <to>
                    <xdr:col>4</xdr:col>
                    <xdr:colOff>12700</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31750</xdr:colOff>
                    <xdr:row>36</xdr:row>
                    <xdr:rowOff>95250</xdr:rowOff>
                  </from>
                  <to>
                    <xdr:col>4</xdr:col>
                    <xdr:colOff>12700</xdr:colOff>
                    <xdr:row>36</xdr:row>
                    <xdr:rowOff>317500</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63500</xdr:colOff>
                    <xdr:row>14</xdr:row>
                    <xdr:rowOff>107950</xdr:rowOff>
                  </from>
                  <to>
                    <xdr:col>4</xdr:col>
                    <xdr:colOff>25400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63500</xdr:colOff>
                    <xdr:row>15</xdr:row>
                    <xdr:rowOff>101600</xdr:rowOff>
                  </from>
                  <to>
                    <xdr:col>4</xdr:col>
                    <xdr:colOff>25400</xdr:colOff>
                    <xdr:row>15</xdr:row>
                    <xdr:rowOff>298450</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63500</xdr:colOff>
                    <xdr:row>16</xdr:row>
                    <xdr:rowOff>82550</xdr:rowOff>
                  </from>
                  <to>
                    <xdr:col>4</xdr:col>
                    <xdr:colOff>25400</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63500</xdr:colOff>
                    <xdr:row>17</xdr:row>
                    <xdr:rowOff>76200</xdr:rowOff>
                  </from>
                  <to>
                    <xdr:col>4</xdr:col>
                    <xdr:colOff>25400</xdr:colOff>
                    <xdr:row>17</xdr:row>
                    <xdr:rowOff>273050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63500</xdr:colOff>
                    <xdr:row>18</xdr:row>
                    <xdr:rowOff>76200</xdr:rowOff>
                  </from>
                  <to>
                    <xdr:col>4</xdr:col>
                    <xdr:colOff>25400</xdr:colOff>
                    <xdr:row>18</xdr:row>
                    <xdr:rowOff>273050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92"/>
      <c r="C2" s="792"/>
      <c r="D2" s="792"/>
      <c r="E2" s="792"/>
      <c r="F2" s="792"/>
      <c r="G2" s="792"/>
      <c r="H2" s="792"/>
      <c r="I2" s="792"/>
      <c r="J2" s="792"/>
      <c r="K2" s="792"/>
      <c r="L2" s="792"/>
      <c r="M2" s="792"/>
      <c r="N2" s="792"/>
      <c r="O2" s="792"/>
      <c r="P2" s="792"/>
    </row>
    <row r="3" spans="2:170" ht="24" customHeight="1" x14ac:dyDescent="0.4">
      <c r="B3" s="920" t="s">
        <v>277</v>
      </c>
      <c r="C3" s="920"/>
      <c r="D3" s="920"/>
      <c r="E3" s="920"/>
      <c r="F3" s="920"/>
      <c r="G3" s="920"/>
      <c r="H3" s="920"/>
      <c r="I3" s="920"/>
      <c r="J3" s="920"/>
      <c r="K3" s="920"/>
      <c r="L3" s="920"/>
      <c r="M3" s="920"/>
      <c r="N3" s="920"/>
      <c r="O3" s="920"/>
      <c r="P3" s="920"/>
    </row>
    <row r="4" spans="2:170" ht="30" customHeight="1" x14ac:dyDescent="0.3">
      <c r="B4" s="771" t="s">
        <v>1298</v>
      </c>
      <c r="C4" s="772"/>
      <c r="D4" s="772"/>
      <c r="E4" s="772"/>
      <c r="F4" s="772"/>
      <c r="G4" s="772"/>
      <c r="H4" s="772"/>
      <c r="I4" s="772"/>
      <c r="J4" s="772"/>
      <c r="K4" s="772"/>
      <c r="L4" s="772"/>
      <c r="M4" s="772"/>
      <c r="N4" s="772"/>
      <c r="O4" s="772"/>
      <c r="P4" s="773"/>
    </row>
    <row r="5" spans="2:170" ht="30" customHeight="1" x14ac:dyDescent="0.3">
      <c r="B5" s="1625" t="s">
        <v>2054</v>
      </c>
      <c r="C5" s="1641"/>
      <c r="D5" s="1642"/>
      <c r="E5" s="771" t="s">
        <v>1281</v>
      </c>
      <c r="F5" s="772"/>
      <c r="G5" s="772"/>
      <c r="H5" s="772"/>
      <c r="I5" s="772"/>
      <c r="J5" s="772"/>
      <c r="K5" s="772"/>
      <c r="L5" s="772"/>
      <c r="M5" s="772"/>
      <c r="N5" s="772"/>
      <c r="O5" s="772"/>
      <c r="P5" s="433"/>
      <c r="R5" s="128" t="s">
        <v>2296</v>
      </c>
      <c r="S5" s="556">
        <v>1</v>
      </c>
    </row>
    <row r="6" spans="2:170" ht="30" customHeight="1" x14ac:dyDescent="0.3">
      <c r="B6" s="1626"/>
      <c r="C6" s="1643"/>
      <c r="D6" s="1644"/>
      <c r="E6" s="771" t="s">
        <v>2055</v>
      </c>
      <c r="F6" s="772"/>
      <c r="G6" s="772"/>
      <c r="H6" s="772"/>
      <c r="I6" s="772"/>
      <c r="J6" s="772"/>
      <c r="K6" s="772"/>
      <c r="L6" s="772"/>
      <c r="M6" s="772"/>
      <c r="N6" s="772"/>
      <c r="O6" s="772"/>
      <c r="P6" s="260"/>
    </row>
    <row r="7" spans="2:170" ht="30" customHeight="1" x14ac:dyDescent="0.3">
      <c r="B7" s="1626"/>
      <c r="C7" s="1643"/>
      <c r="D7" s="1644"/>
      <c r="E7" s="771" t="s">
        <v>2056</v>
      </c>
      <c r="F7" s="772"/>
      <c r="G7" s="772"/>
      <c r="H7" s="772"/>
      <c r="I7" s="772"/>
      <c r="J7" s="772"/>
      <c r="K7" s="772"/>
      <c r="L7" s="772"/>
      <c r="M7" s="772"/>
      <c r="N7" s="772"/>
      <c r="O7" s="772"/>
      <c r="P7" s="260"/>
    </row>
    <row r="8" spans="2:170" ht="30" customHeight="1" x14ac:dyDescent="0.3">
      <c r="B8" s="1626"/>
      <c r="C8" s="1643"/>
      <c r="D8" s="1644"/>
      <c r="E8" s="771" t="s">
        <v>2057</v>
      </c>
      <c r="F8" s="772"/>
      <c r="G8" s="772"/>
      <c r="H8" s="772"/>
      <c r="I8" s="772"/>
      <c r="J8" s="772"/>
      <c r="K8" s="772"/>
      <c r="L8" s="772"/>
      <c r="M8" s="772"/>
      <c r="N8" s="772"/>
      <c r="O8" s="772"/>
      <c r="P8" s="260"/>
    </row>
    <row r="9" spans="2:170" ht="40.5" customHeight="1" x14ac:dyDescent="0.3">
      <c r="B9" s="1626"/>
      <c r="C9" s="1643"/>
      <c r="D9" s="1644"/>
      <c r="E9" s="771" t="s">
        <v>2058</v>
      </c>
      <c r="F9" s="772"/>
      <c r="G9" s="772"/>
      <c r="H9" s="772"/>
      <c r="I9" s="772"/>
      <c r="J9" s="772"/>
      <c r="K9" s="772"/>
      <c r="L9" s="772"/>
      <c r="M9" s="772"/>
      <c r="N9" s="772"/>
      <c r="O9" s="772"/>
      <c r="P9" s="260"/>
    </row>
    <row r="10" spans="2:170" ht="30" customHeight="1" x14ac:dyDescent="0.3">
      <c r="B10" s="1646"/>
      <c r="C10" s="1643"/>
      <c r="D10" s="1644"/>
      <c r="E10" s="771" t="s">
        <v>2059</v>
      </c>
      <c r="F10" s="772"/>
      <c r="G10" s="772"/>
      <c r="H10" s="772"/>
      <c r="I10" s="772"/>
      <c r="J10" s="772"/>
      <c r="K10" s="772"/>
      <c r="L10" s="772"/>
      <c r="M10" s="772"/>
      <c r="N10" s="772"/>
      <c r="O10" s="772"/>
      <c r="P10" s="295">
        <f>IF(S5=2,0.15,IF(S5=3,0.35,IF(S5=4,0.5,IF(S5=5,0.75,IF(S5=6,0.95,0)))))</f>
        <v>0</v>
      </c>
      <c r="S10" s="927" t="s">
        <v>1025</v>
      </c>
    </row>
    <row r="11" spans="2:170" ht="20.25" customHeight="1" x14ac:dyDescent="0.3">
      <c r="B11" s="989"/>
      <c r="C11" s="990"/>
      <c r="D11" s="990"/>
      <c r="E11" s="322"/>
      <c r="F11" s="322"/>
      <c r="G11" s="322"/>
      <c r="H11" s="322"/>
      <c r="I11" s="322"/>
      <c r="L11" s="880" t="s">
        <v>1025</v>
      </c>
      <c r="M11" s="880"/>
      <c r="N11" s="880"/>
      <c r="O11" s="881"/>
      <c r="P11" s="261"/>
      <c r="S11" s="927"/>
    </row>
    <row r="12" spans="2:170" ht="20.25" customHeight="1" x14ac:dyDescent="0.3">
      <c r="B12" s="218"/>
      <c r="C12" s="267"/>
      <c r="D12" s="267"/>
      <c r="E12" s="309"/>
      <c r="F12" s="215"/>
      <c r="G12" s="215"/>
      <c r="H12" s="215"/>
      <c r="I12" s="215"/>
      <c r="J12" s="215"/>
      <c r="K12" s="215"/>
      <c r="L12" s="1031" t="s">
        <v>1153</v>
      </c>
      <c r="M12" s="1031"/>
      <c r="N12" s="1031"/>
      <c r="O12" s="1032"/>
      <c r="P12" s="262">
        <f>IF(AND(S12&gt;0,S12&lt;0.01),0.01,ROUND(S12,2))</f>
        <v>0</v>
      </c>
      <c r="S12" s="146">
        <f>IF(P11="",P10,P10*P11)</f>
        <v>0</v>
      </c>
    </row>
    <row r="13" spans="2:170" ht="66.75" customHeight="1" x14ac:dyDescent="0.3">
      <c r="B13" s="764" t="s">
        <v>0</v>
      </c>
      <c r="C13" s="765"/>
      <c r="D13" s="765"/>
      <c r="E13" s="765"/>
      <c r="F13" s="765"/>
      <c r="G13" s="765"/>
      <c r="H13" s="765"/>
      <c r="I13" s="765"/>
      <c r="J13" s="765"/>
      <c r="K13" s="765"/>
      <c r="L13" s="765"/>
      <c r="M13" s="765"/>
      <c r="N13" s="765"/>
      <c r="O13" s="765"/>
      <c r="P13" s="766"/>
    </row>
    <row r="14" spans="2:170" ht="38.25" customHeight="1" x14ac:dyDescent="0.3">
      <c r="B14" s="833" t="s">
        <v>1321</v>
      </c>
      <c r="C14" s="713"/>
      <c r="D14" s="713"/>
      <c r="E14" s="713"/>
      <c r="F14" s="713"/>
      <c r="G14" s="713"/>
      <c r="H14" s="713"/>
      <c r="I14" s="713"/>
      <c r="J14" s="713"/>
      <c r="K14" s="713"/>
      <c r="L14" s="713"/>
      <c r="M14" s="713"/>
      <c r="N14" s="713"/>
      <c r="O14" s="713"/>
      <c r="P14" s="834"/>
    </row>
    <row r="15" spans="2:170" ht="27" customHeight="1" x14ac:dyDescent="0.3">
      <c r="B15" s="1106" t="s">
        <v>1322</v>
      </c>
      <c r="C15" s="1107"/>
      <c r="D15" s="1107"/>
      <c r="E15" s="1107"/>
      <c r="F15" s="1107"/>
      <c r="G15" s="1107"/>
      <c r="H15" s="1107"/>
      <c r="I15" s="1107"/>
      <c r="J15" s="1107"/>
      <c r="K15" s="1107"/>
      <c r="L15" s="1107"/>
      <c r="M15" s="1107"/>
      <c r="N15" s="1107"/>
      <c r="O15" s="1107"/>
      <c r="P15" s="1108"/>
    </row>
    <row r="16" spans="2:170" ht="30.75" customHeight="1" x14ac:dyDescent="0.35">
      <c r="B16" s="1049" t="s">
        <v>947</v>
      </c>
      <c r="C16" s="1049"/>
      <c r="D16" s="1049"/>
      <c r="E16" s="1049"/>
      <c r="F16" s="1049"/>
      <c r="G16" s="1049"/>
      <c r="H16" s="1049"/>
      <c r="I16" s="1049"/>
      <c r="J16" s="1049"/>
      <c r="K16" s="1049"/>
      <c r="L16" s="1049"/>
      <c r="M16" s="1049"/>
      <c r="N16" s="1049"/>
      <c r="O16" s="1049"/>
      <c r="P16" s="1049"/>
    </row>
    <row r="17" spans="2:14" x14ac:dyDescent="0.3">
      <c r="B17" s="247" t="s">
        <v>790</v>
      </c>
      <c r="C17" s="1336" t="str">
        <f>IF(U1&lt;&gt;"",U1,"")</f>
        <v>Go to PPD Worksheet</v>
      </c>
      <c r="D17" s="1336"/>
      <c r="E17" s="1336"/>
      <c r="F17" s="1336"/>
      <c r="G17" s="1336"/>
      <c r="H17" s="1336"/>
      <c r="I17" s="1527" t="str">
        <f>IF(T1&lt;&gt;"",T1,"")</f>
        <v/>
      </c>
      <c r="J17" s="1527"/>
      <c r="K17" s="1527"/>
      <c r="L17" s="1527"/>
      <c r="M17" s="1527"/>
      <c r="N17" s="1527"/>
    </row>
    <row r="19" spans="2:14" hidden="1" x14ac:dyDescent="0.3">
      <c r="B19" s="2">
        <v>0.01</v>
      </c>
      <c r="C19" s="2">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3</xdr:row>
                    <xdr:rowOff>361950</xdr:rowOff>
                  </from>
                  <to>
                    <xdr:col>14</xdr:col>
                    <xdr:colOff>933450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zoomScale="120" zoomScaleNormal="120" workbookViewId="0"/>
  </sheetViews>
  <sheetFormatPr defaultColWidth="1.54296875" defaultRowHeight="13" x14ac:dyDescent="0.3"/>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24" width="12.7265625" style="2" hidden="1" customWidth="1"/>
    <col min="25" max="130" width="1.54296875" style="2" hidden="1" customWidth="1"/>
    <col min="131" max="255" width="1.54296875" style="2" customWidth="1"/>
    <col min="256" max="16384" width="1.54296875" style="2"/>
  </cols>
  <sheetData>
    <row r="1" spans="2: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3">
      <c r="B2" s="792"/>
      <c r="C2" s="792"/>
      <c r="D2" s="792"/>
      <c r="E2" s="792"/>
      <c r="F2" s="792"/>
      <c r="G2" s="792"/>
      <c r="H2" s="792"/>
      <c r="I2" s="792"/>
      <c r="J2" s="792"/>
      <c r="K2" s="792"/>
      <c r="L2" s="792"/>
      <c r="M2" s="792"/>
      <c r="N2" s="792"/>
      <c r="O2" s="792"/>
      <c r="P2" s="792"/>
    </row>
    <row r="3" spans="2:170" ht="18" x14ac:dyDescent="0.4">
      <c r="B3" s="920" t="s">
        <v>1070</v>
      </c>
      <c r="C3" s="920"/>
      <c r="D3" s="920"/>
      <c r="E3" s="920"/>
      <c r="F3" s="920"/>
      <c r="G3" s="920"/>
      <c r="H3" s="920"/>
      <c r="I3" s="920"/>
      <c r="J3" s="920"/>
      <c r="K3" s="920"/>
      <c r="L3" s="920"/>
      <c r="M3" s="920"/>
      <c r="N3" s="920"/>
      <c r="O3" s="920"/>
      <c r="P3" s="920"/>
    </row>
    <row r="4" spans="2:170" ht="27" customHeight="1" x14ac:dyDescent="0.3">
      <c r="B4" s="377" t="s">
        <v>1967</v>
      </c>
      <c r="C4" s="324"/>
      <c r="D4" s="324"/>
      <c r="E4" s="324"/>
      <c r="F4" s="324"/>
      <c r="G4" s="324"/>
      <c r="H4" s="324"/>
      <c r="I4" s="324"/>
      <c r="J4" s="324"/>
      <c r="K4" s="324"/>
      <c r="L4" s="324"/>
      <c r="M4" s="926" t="s">
        <v>1524</v>
      </c>
      <c r="N4" s="926"/>
      <c r="O4" s="923"/>
      <c r="P4" s="992">
        <f>IF(AND(S6&gt;0,S6&lt;0.01),0.01,ROUND(S6,2))</f>
        <v>0</v>
      </c>
      <c r="R4" s="146" t="s">
        <v>2296</v>
      </c>
      <c r="S4" s="556">
        <v>1</v>
      </c>
      <c r="T4" s="58"/>
    </row>
    <row r="5" spans="2:170" ht="20.149999999999999" customHeight="1" x14ac:dyDescent="0.3">
      <c r="B5" s="259" t="s">
        <v>1968</v>
      </c>
      <c r="C5" s="264"/>
      <c r="D5" s="265"/>
      <c r="E5" s="265"/>
      <c r="F5" s="265"/>
      <c r="G5" s="265"/>
      <c r="H5" s="265"/>
      <c r="I5" s="265"/>
      <c r="J5" s="265"/>
      <c r="K5" s="265"/>
      <c r="L5" s="266"/>
      <c r="M5" s="985"/>
      <c r="N5" s="985"/>
      <c r="O5" s="258"/>
      <c r="P5" s="1081"/>
      <c r="S5" s="15"/>
      <c r="T5" s="58"/>
    </row>
    <row r="6" spans="2:170" ht="20.149999999999999" customHeight="1" x14ac:dyDescent="0.3">
      <c r="B6" s="181" t="s">
        <v>1969</v>
      </c>
      <c r="C6" s="256"/>
      <c r="D6" s="257"/>
      <c r="E6" s="257"/>
      <c r="F6" s="257"/>
      <c r="G6" s="257"/>
      <c r="H6" s="257"/>
      <c r="I6" s="257"/>
      <c r="J6" s="257"/>
      <c r="K6" s="257"/>
      <c r="L6" s="257"/>
      <c r="M6" s="1658">
        <f>IF(S4=2,0,IF(S4=3,0.06,IF(S4=4,0.11,IF(S4=5,0.2,IF(S4=6,0.29,IF(S4=7,0.38,0))))))</f>
        <v>0</v>
      </c>
      <c r="N6" s="1659"/>
      <c r="O6" s="211"/>
      <c r="P6" s="1082"/>
      <c r="R6" s="146" t="s">
        <v>2297</v>
      </c>
      <c r="S6" s="18">
        <f>IF(O6&gt;0,M6*O6,M6)</f>
        <v>0</v>
      </c>
    </row>
    <row r="7" spans="2:170" ht="27" customHeight="1" x14ac:dyDescent="0.3">
      <c r="B7" s="1030" t="s">
        <v>1970</v>
      </c>
      <c r="C7" s="1031"/>
      <c r="D7" s="1031"/>
      <c r="E7" s="1031"/>
      <c r="F7" s="1031"/>
      <c r="G7" s="1031"/>
      <c r="H7" s="1031"/>
      <c r="I7" s="1031"/>
      <c r="J7" s="1031"/>
      <c r="K7" s="1031"/>
      <c r="L7" s="1032"/>
      <c r="M7" s="432"/>
      <c r="N7" s="432"/>
      <c r="O7" s="434"/>
      <c r="P7" s="992">
        <f>IF(AND(S10&gt;0,S10&lt;0.01),0.01,ROUND(S10,2))</f>
        <v>0</v>
      </c>
    </row>
    <row r="8" spans="2:170" ht="20.149999999999999" customHeight="1" x14ac:dyDescent="0.3">
      <c r="B8" s="259" t="s">
        <v>1968</v>
      </c>
      <c r="C8" s="435"/>
      <c r="D8" s="436"/>
      <c r="E8" s="436"/>
      <c r="F8" s="436"/>
      <c r="G8" s="436"/>
      <c r="H8" s="436"/>
      <c r="I8" s="436"/>
      <c r="J8" s="436"/>
      <c r="K8" s="436"/>
      <c r="L8" s="437"/>
      <c r="M8" s="438"/>
      <c r="N8" s="439"/>
      <c r="O8" s="440"/>
      <c r="P8" s="1081"/>
      <c r="R8" s="146" t="s">
        <v>2296</v>
      </c>
      <c r="S8" s="556">
        <v>1</v>
      </c>
      <c r="T8" s="58"/>
    </row>
    <row r="9" spans="2:170" ht="20.149999999999999" customHeight="1" x14ac:dyDescent="0.3">
      <c r="B9" s="259" t="s">
        <v>1969</v>
      </c>
      <c r="C9" s="264"/>
      <c r="D9" s="265"/>
      <c r="E9" s="265"/>
      <c r="F9" s="265"/>
      <c r="G9" s="265"/>
      <c r="H9" s="265"/>
      <c r="I9" s="265"/>
      <c r="J9" s="265"/>
      <c r="K9" s="265"/>
      <c r="L9" s="266"/>
      <c r="M9" s="57"/>
      <c r="N9" s="57"/>
      <c r="O9" s="263"/>
      <c r="P9" s="1081"/>
      <c r="S9" s="15"/>
      <c r="T9" s="58"/>
    </row>
    <row r="10" spans="2:170" ht="20.149999999999999" customHeight="1" x14ac:dyDescent="0.3">
      <c r="B10" s="181" t="s">
        <v>1971</v>
      </c>
      <c r="C10" s="264"/>
      <c r="D10" s="265"/>
      <c r="E10" s="265"/>
      <c r="F10" s="265"/>
      <c r="G10" s="265"/>
      <c r="H10" s="265"/>
      <c r="I10" s="265"/>
      <c r="J10" s="265"/>
      <c r="K10" s="265"/>
      <c r="L10" s="266"/>
      <c r="M10" s="753">
        <f>IF(S8=2,0.06,IF(S8=3,0.23,IF(S8=4,0.35,IF(S8=5,0.5,IF(S8=6,0.66,IF(S8=7,0.81,0))))))</f>
        <v>0</v>
      </c>
      <c r="N10" s="755"/>
      <c r="O10" s="210"/>
      <c r="P10" s="1082"/>
      <c r="R10" s="146" t="s">
        <v>2297</v>
      </c>
      <c r="S10" s="18">
        <f>IF(O10&gt;0,M10*O10,M10)</f>
        <v>0</v>
      </c>
    </row>
    <row r="11" spans="2:170" ht="27" customHeight="1" x14ac:dyDescent="0.3">
      <c r="B11" s="377" t="s">
        <v>944</v>
      </c>
      <c r="C11" s="432"/>
      <c r="D11" s="432"/>
      <c r="E11" s="432"/>
      <c r="F11" s="432"/>
      <c r="G11" s="432"/>
      <c r="H11" s="432"/>
      <c r="I11" s="432"/>
      <c r="J11" s="432"/>
      <c r="K11" s="432"/>
      <c r="L11" s="432"/>
      <c r="M11" s="348"/>
      <c r="N11" s="348"/>
      <c r="O11" s="441"/>
      <c r="P11" s="992">
        <f>IF(AND(S14&gt;0,S14&lt;0.01),0.01,ROUND(S14,2))</f>
        <v>0</v>
      </c>
    </row>
    <row r="12" spans="2:170" ht="20.149999999999999" customHeight="1" x14ac:dyDescent="0.3">
      <c r="B12" s="259" t="s">
        <v>1968</v>
      </c>
      <c r="C12" s="264"/>
      <c r="D12" s="265"/>
      <c r="E12" s="265"/>
      <c r="F12" s="265"/>
      <c r="G12" s="265"/>
      <c r="H12" s="265"/>
      <c r="I12" s="265"/>
      <c r="J12" s="265"/>
      <c r="K12" s="265"/>
      <c r="L12" s="266"/>
      <c r="M12" s="271"/>
      <c r="N12" s="269"/>
      <c r="O12" s="272"/>
      <c r="P12" s="1081"/>
      <c r="R12" s="146" t="s">
        <v>2296</v>
      </c>
      <c r="S12" s="556">
        <v>1</v>
      </c>
      <c r="T12" s="58"/>
      <c r="U12" s="1143" t="s">
        <v>2298</v>
      </c>
      <c r="V12" s="370">
        <f>IF(S12=3,0.06,IF(S12=4,0.11,IF(S12=5,0.2,IF(S12=6,0.29,IF(S12=7,0.38,0)))))</f>
        <v>0</v>
      </c>
    </row>
    <row r="13" spans="2:170" ht="20.149999999999999" customHeight="1" x14ac:dyDescent="0.3">
      <c r="B13" s="259" t="s">
        <v>1969</v>
      </c>
      <c r="C13" s="264"/>
      <c r="D13" s="265"/>
      <c r="E13" s="265"/>
      <c r="F13" s="265"/>
      <c r="G13" s="265"/>
      <c r="H13" s="265"/>
      <c r="I13" s="265"/>
      <c r="J13" s="265"/>
      <c r="K13" s="265"/>
      <c r="L13" s="266"/>
      <c r="M13" s="271"/>
      <c r="N13" s="269"/>
      <c r="O13" s="272"/>
      <c r="P13" s="1081"/>
      <c r="S13" s="15"/>
      <c r="T13" s="58"/>
      <c r="U13" s="1143"/>
      <c r="V13" s="370">
        <f>IF(S12=8,0.5,IF(S12=9,0.63,IF(S12=10,0.75,IF(S12=11,0.9,0))))</f>
        <v>0</v>
      </c>
    </row>
    <row r="14" spans="2:170" ht="20.149999999999999" customHeight="1" x14ac:dyDescent="0.3">
      <c r="B14" s="259" t="s">
        <v>1971</v>
      </c>
      <c r="C14" s="264"/>
      <c r="D14" s="265"/>
      <c r="E14" s="265"/>
      <c r="F14" s="265"/>
      <c r="G14" s="265"/>
      <c r="H14" s="265"/>
      <c r="I14" s="265"/>
      <c r="J14" s="265"/>
      <c r="K14" s="265"/>
      <c r="L14" s="266"/>
      <c r="M14" s="218"/>
      <c r="N14" s="267"/>
      <c r="O14" s="268"/>
      <c r="P14" s="1081"/>
      <c r="R14" s="146" t="s">
        <v>2297</v>
      </c>
      <c r="S14" s="18">
        <f>IF(O15&gt;0,M15*O15,M15)</f>
        <v>0</v>
      </c>
      <c r="U14" s="1143"/>
      <c r="V14" s="394">
        <f>V12+V13</f>
        <v>0</v>
      </c>
    </row>
    <row r="15" spans="2:170" ht="20.149999999999999" customHeight="1" x14ac:dyDescent="0.3">
      <c r="B15" s="259" t="s">
        <v>945</v>
      </c>
      <c r="C15" s="264"/>
      <c r="D15" s="265"/>
      <c r="E15" s="265"/>
      <c r="F15" s="265"/>
      <c r="G15" s="265"/>
      <c r="H15" s="265"/>
      <c r="I15" s="265"/>
      <c r="J15" s="265"/>
      <c r="K15" s="265"/>
      <c r="L15" s="266"/>
      <c r="M15" s="753">
        <f>V14</f>
        <v>0</v>
      </c>
      <c r="N15" s="755"/>
      <c r="O15" s="210"/>
      <c r="P15" s="1082"/>
    </row>
    <row r="16" spans="2:170" ht="16.5" customHeight="1" x14ac:dyDescent="0.3">
      <c r="B16" s="764" t="s">
        <v>2060</v>
      </c>
      <c r="C16" s="712"/>
      <c r="D16" s="712"/>
      <c r="E16" s="712"/>
      <c r="F16" s="712"/>
      <c r="G16" s="712"/>
      <c r="H16" s="712"/>
      <c r="I16" s="712"/>
      <c r="J16" s="712"/>
      <c r="K16" s="712"/>
      <c r="L16" s="712"/>
      <c r="M16" s="712"/>
      <c r="N16" s="712"/>
      <c r="O16" s="988"/>
      <c r="P16" s="1660">
        <f>V18</f>
        <v>0</v>
      </c>
      <c r="S16" s="146" t="s">
        <v>1303</v>
      </c>
      <c r="T16" s="13" t="s">
        <v>1304</v>
      </c>
      <c r="U16" s="673" t="s">
        <v>1305</v>
      </c>
      <c r="V16" s="13" t="s">
        <v>1306</v>
      </c>
    </row>
    <row r="17" spans="2:22" ht="12.75" customHeight="1" x14ac:dyDescent="0.3">
      <c r="B17" s="833"/>
      <c r="C17" s="712"/>
      <c r="D17" s="712"/>
      <c r="E17" s="712"/>
      <c r="F17" s="712"/>
      <c r="G17" s="712"/>
      <c r="H17" s="712"/>
      <c r="I17" s="712"/>
      <c r="J17" s="712"/>
      <c r="K17" s="712"/>
      <c r="L17" s="712"/>
      <c r="M17" s="712"/>
      <c r="N17" s="712"/>
      <c r="O17" s="988"/>
      <c r="P17" s="1660"/>
      <c r="S17" s="394">
        <f>P4</f>
        <v>0</v>
      </c>
      <c r="T17" s="370">
        <f>LARGE($S$17:$S$19,1)</f>
        <v>0</v>
      </c>
      <c r="U17" s="408">
        <f>T17+T18*(1-T17)</f>
        <v>0</v>
      </c>
      <c r="V17" s="394">
        <f>ROUND(U17,2)</f>
        <v>0</v>
      </c>
    </row>
    <row r="18" spans="2:22" ht="14.25" customHeight="1" x14ac:dyDescent="0.3">
      <c r="B18" s="833"/>
      <c r="C18" s="712"/>
      <c r="D18" s="712"/>
      <c r="E18" s="712"/>
      <c r="F18" s="712"/>
      <c r="G18" s="712"/>
      <c r="H18" s="712"/>
      <c r="I18" s="712"/>
      <c r="J18" s="990"/>
      <c r="K18" s="990"/>
      <c r="L18" s="990"/>
      <c r="M18" s="990"/>
      <c r="N18" s="990"/>
      <c r="O18" s="991"/>
      <c r="P18" s="1660"/>
      <c r="S18" s="394">
        <f>P7</f>
        <v>0</v>
      </c>
      <c r="T18" s="370">
        <f>LARGE($S$17:$S$19,2)</f>
        <v>0</v>
      </c>
      <c r="U18" s="408">
        <f>V17+T19*(1-V17)</f>
        <v>0</v>
      </c>
      <c r="V18" s="394">
        <f>ROUND(U18,2)</f>
        <v>0</v>
      </c>
    </row>
    <row r="19" spans="2:22" ht="20.149999999999999" customHeight="1" x14ac:dyDescent="0.3">
      <c r="B19" s="833"/>
      <c r="C19" s="712"/>
      <c r="D19" s="712"/>
      <c r="E19" s="712"/>
      <c r="F19" s="712"/>
      <c r="G19" s="712"/>
      <c r="H19" s="712"/>
      <c r="I19" s="712"/>
      <c r="J19" s="1662" t="s">
        <v>946</v>
      </c>
      <c r="K19" s="1663"/>
      <c r="L19" s="1663"/>
      <c r="M19" s="1663"/>
      <c r="N19" s="1663"/>
      <c r="O19" s="1664"/>
      <c r="P19" s="1661"/>
      <c r="S19" s="394">
        <f>P11</f>
        <v>0</v>
      </c>
      <c r="T19" s="370">
        <f>LARGE($S$17:$S$19,3)</f>
        <v>0</v>
      </c>
    </row>
    <row r="20" spans="2:22" ht="30" customHeight="1" x14ac:dyDescent="0.35">
      <c r="B20" s="1049" t="s">
        <v>947</v>
      </c>
      <c r="C20" s="1049"/>
      <c r="D20" s="1049"/>
      <c r="E20" s="1049"/>
      <c r="F20" s="1049"/>
      <c r="G20" s="1049"/>
      <c r="H20" s="1049"/>
      <c r="I20" s="1049"/>
      <c r="J20" s="1049"/>
      <c r="K20" s="1049"/>
      <c r="L20" s="1049"/>
      <c r="M20" s="1049"/>
      <c r="N20" s="1049"/>
      <c r="O20" s="1049"/>
      <c r="P20" s="1049"/>
    </row>
    <row r="21" spans="2:22" ht="15" customHeight="1" x14ac:dyDescent="0.3">
      <c r="B21" s="247"/>
      <c r="C21" s="1336" t="str">
        <f>IF(U1&lt;&gt;"",U1,"")</f>
        <v>Go to PPD Worksheet</v>
      </c>
      <c r="D21" s="1336"/>
      <c r="E21" s="1336"/>
      <c r="F21" s="1336"/>
      <c r="G21" s="1336"/>
      <c r="H21" s="1336"/>
      <c r="I21" s="1527" t="str">
        <f>IF(T1&lt;&gt;"",T1,"")</f>
        <v/>
      </c>
      <c r="J21" s="1527"/>
      <c r="K21" s="1527"/>
      <c r="L21" s="1527"/>
      <c r="M21" s="1527"/>
      <c r="N21" s="1527"/>
    </row>
    <row r="24" spans="2:22" hidden="1" x14ac:dyDescent="0.3">
      <c r="B24" s="2">
        <v>0.01</v>
      </c>
      <c r="C24" s="2">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165100</xdr:colOff>
                    <xdr:row>10</xdr:row>
                    <xdr:rowOff>19050</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311150</xdr:rowOff>
                  </from>
                  <to>
                    <xdr:col>5</xdr:col>
                    <xdr:colOff>69850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247650</xdr:colOff>
                    <xdr:row>10</xdr:row>
                    <xdr:rowOff>311150</xdr:rowOff>
                  </from>
                  <to>
                    <xdr:col>8</xdr:col>
                    <xdr:colOff>82550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6350</xdr:colOff>
                    <xdr:row>10</xdr:row>
                    <xdr:rowOff>311150</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222250</xdr:rowOff>
                  </from>
                  <to>
                    <xdr:col>5</xdr:col>
                    <xdr:colOff>69850</xdr:colOff>
                    <xdr:row>12</xdr:row>
                    <xdr:rowOff>209550</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247650</xdr:colOff>
                    <xdr:row>11</xdr:row>
                    <xdr:rowOff>222250</xdr:rowOff>
                  </from>
                  <to>
                    <xdr:col>8</xdr:col>
                    <xdr:colOff>82550</xdr:colOff>
                    <xdr:row>12</xdr:row>
                    <xdr:rowOff>209550</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6350</xdr:colOff>
                    <xdr:row>11</xdr:row>
                    <xdr:rowOff>222250</xdr:rowOff>
                  </from>
                  <to>
                    <xdr:col>11</xdr:col>
                    <xdr:colOff>241300</xdr:colOff>
                    <xdr:row>12</xdr:row>
                    <xdr:rowOff>209550</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241300</xdr:rowOff>
                  </from>
                  <to>
                    <xdr:col>5</xdr:col>
                    <xdr:colOff>69850</xdr:colOff>
                    <xdr:row>13</xdr:row>
                    <xdr:rowOff>228600</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247650</xdr:colOff>
                    <xdr:row>12</xdr:row>
                    <xdr:rowOff>241300</xdr:rowOff>
                  </from>
                  <to>
                    <xdr:col>8</xdr:col>
                    <xdr:colOff>82550</xdr:colOff>
                    <xdr:row>13</xdr:row>
                    <xdr:rowOff>228600</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6350</xdr:colOff>
                    <xdr:row>12</xdr:row>
                    <xdr:rowOff>241300</xdr:rowOff>
                  </from>
                  <to>
                    <xdr:col>11</xdr:col>
                    <xdr:colOff>241300</xdr:colOff>
                    <xdr:row>13</xdr:row>
                    <xdr:rowOff>228600</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6350</xdr:colOff>
                    <xdr:row>14</xdr:row>
                    <xdr:rowOff>241300</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19050</xdr:rowOff>
                  </from>
                  <to>
                    <xdr:col>11</xdr:col>
                    <xdr:colOff>546100</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228600</xdr:rowOff>
                  </from>
                  <to>
                    <xdr:col>5</xdr:col>
                    <xdr:colOff>69850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247650</xdr:colOff>
                    <xdr:row>7</xdr:row>
                    <xdr:rowOff>228600</xdr:rowOff>
                  </from>
                  <to>
                    <xdr:col>8</xdr:col>
                    <xdr:colOff>82550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6350</xdr:colOff>
                    <xdr:row>7</xdr:row>
                    <xdr:rowOff>228600</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254000</xdr:rowOff>
                  </from>
                  <to>
                    <xdr:col>5</xdr:col>
                    <xdr:colOff>69850</xdr:colOff>
                    <xdr:row>9</xdr:row>
                    <xdr:rowOff>241300</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247650</xdr:colOff>
                    <xdr:row>8</xdr:row>
                    <xdr:rowOff>254000</xdr:rowOff>
                  </from>
                  <to>
                    <xdr:col>8</xdr:col>
                    <xdr:colOff>82550</xdr:colOff>
                    <xdr:row>9</xdr:row>
                    <xdr:rowOff>241300</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6350</xdr:colOff>
                    <xdr:row>8</xdr:row>
                    <xdr:rowOff>254000</xdr:rowOff>
                  </from>
                  <to>
                    <xdr:col>11</xdr:col>
                    <xdr:colOff>241300</xdr:colOff>
                    <xdr:row>9</xdr:row>
                    <xdr:rowOff>241300</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311150</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146050</xdr:colOff>
                    <xdr:row>3</xdr:row>
                    <xdr:rowOff>31750</xdr:rowOff>
                  </from>
                  <to>
                    <xdr:col>11</xdr:col>
                    <xdr:colOff>527050</xdr:colOff>
                    <xdr:row>3</xdr:row>
                    <xdr:rowOff>254000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31750</xdr:colOff>
                    <xdr:row>4</xdr:row>
                    <xdr:rowOff>25400</xdr:rowOff>
                  </from>
                  <to>
                    <xdr:col>5</xdr:col>
                    <xdr:colOff>63500</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241300</xdr:colOff>
                    <xdr:row>4</xdr:row>
                    <xdr:rowOff>25400</xdr:rowOff>
                  </from>
                  <to>
                    <xdr:col>8</xdr:col>
                    <xdr:colOff>76200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25400</xdr:rowOff>
                  </from>
                  <to>
                    <xdr:col>11</xdr:col>
                    <xdr:colOff>234950</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31750</xdr:colOff>
                    <xdr:row>5</xdr:row>
                    <xdr:rowOff>19050</xdr:rowOff>
                  </from>
                  <to>
                    <xdr:col>5</xdr:col>
                    <xdr:colOff>63500</xdr:colOff>
                    <xdr:row>5</xdr:row>
                    <xdr:rowOff>241300</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241300</xdr:colOff>
                    <xdr:row>5</xdr:row>
                    <xdr:rowOff>19050</xdr:rowOff>
                  </from>
                  <to>
                    <xdr:col>8</xdr:col>
                    <xdr:colOff>76200</xdr:colOff>
                    <xdr:row>5</xdr:row>
                    <xdr:rowOff>241300</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234950</xdr:colOff>
                    <xdr:row>5</xdr:row>
                    <xdr:rowOff>241300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election activeCell="B1" sqref="B1"/>
    </sheetView>
  </sheetViews>
  <sheetFormatPr defaultColWidth="2.269531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92"/>
      <c r="C2" s="792"/>
      <c r="D2" s="792"/>
      <c r="E2" s="792"/>
      <c r="F2" s="792"/>
      <c r="G2" s="792"/>
      <c r="H2" s="792"/>
      <c r="I2" s="792"/>
      <c r="J2" s="792"/>
      <c r="K2" s="792"/>
      <c r="L2" s="792"/>
      <c r="M2" s="792"/>
      <c r="N2" s="792"/>
      <c r="O2" s="792"/>
      <c r="P2" s="792"/>
    </row>
    <row r="3" spans="2:170" ht="24" customHeight="1" x14ac:dyDescent="0.4">
      <c r="B3" s="920" t="s">
        <v>1330</v>
      </c>
      <c r="C3" s="920"/>
      <c r="D3" s="920"/>
      <c r="E3" s="920"/>
      <c r="F3" s="920"/>
      <c r="G3" s="920"/>
      <c r="H3" s="920"/>
      <c r="I3" s="920"/>
      <c r="J3" s="920"/>
      <c r="K3" s="920"/>
      <c r="L3" s="920"/>
      <c r="M3" s="920"/>
      <c r="N3" s="920"/>
      <c r="O3" s="920"/>
      <c r="P3" s="920"/>
    </row>
    <row r="4" spans="2:170" ht="21" customHeight="1" x14ac:dyDescent="0.3">
      <c r="B4" s="417" t="s">
        <v>123</v>
      </c>
      <c r="C4" s="1675"/>
      <c r="D4" s="1676"/>
      <c r="E4" s="776" t="s">
        <v>1281</v>
      </c>
      <c r="F4" s="776"/>
      <c r="G4" s="776"/>
      <c r="H4" s="776"/>
      <c r="I4" s="776"/>
      <c r="J4" s="776"/>
      <c r="K4" s="776"/>
      <c r="L4" s="776"/>
      <c r="M4" s="776"/>
      <c r="N4" s="776"/>
      <c r="O4" s="776"/>
      <c r="P4" s="992">
        <f>IF(S5=3,0.3,IF(S5=4,0.7,IF(S5=5,0.85,0)))</f>
        <v>0</v>
      </c>
    </row>
    <row r="5" spans="2:170" ht="45.75" customHeight="1" x14ac:dyDescent="0.3">
      <c r="B5" s="421"/>
      <c r="C5" s="1677"/>
      <c r="D5" s="1678"/>
      <c r="E5" s="771" t="s">
        <v>2062</v>
      </c>
      <c r="F5" s="772"/>
      <c r="G5" s="772"/>
      <c r="H5" s="772"/>
      <c r="I5" s="772"/>
      <c r="J5" s="772"/>
      <c r="K5" s="772"/>
      <c r="L5" s="772"/>
      <c r="M5" s="772"/>
      <c r="N5" s="772"/>
      <c r="O5" s="773"/>
      <c r="P5" s="1081"/>
      <c r="R5" s="146" t="s">
        <v>2296</v>
      </c>
      <c r="S5" s="556">
        <v>1</v>
      </c>
    </row>
    <row r="6" spans="2:170" ht="40.5" customHeight="1" x14ac:dyDescent="0.3">
      <c r="B6" s="421"/>
      <c r="C6" s="1677"/>
      <c r="D6" s="1678"/>
      <c r="E6" s="771" t="s">
        <v>2061</v>
      </c>
      <c r="F6" s="772"/>
      <c r="G6" s="772"/>
      <c r="H6" s="772"/>
      <c r="I6" s="772"/>
      <c r="J6" s="772"/>
      <c r="K6" s="772"/>
      <c r="L6" s="772"/>
      <c r="M6" s="772"/>
      <c r="N6" s="772"/>
      <c r="O6" s="773"/>
      <c r="P6" s="1081"/>
    </row>
    <row r="7" spans="2:170" ht="65.25" customHeight="1" x14ac:dyDescent="0.3">
      <c r="B7" s="421"/>
      <c r="C7" s="1677"/>
      <c r="D7" s="1678"/>
      <c r="E7" s="771" t="s">
        <v>2064</v>
      </c>
      <c r="F7" s="772"/>
      <c r="G7" s="772"/>
      <c r="H7" s="772"/>
      <c r="I7" s="772"/>
      <c r="J7" s="772"/>
      <c r="K7" s="772"/>
      <c r="L7" s="772"/>
      <c r="M7" s="772"/>
      <c r="N7" s="772"/>
      <c r="O7" s="773"/>
      <c r="P7" s="1081"/>
    </row>
    <row r="8" spans="2:170" ht="66" customHeight="1" x14ac:dyDescent="0.3">
      <c r="B8" s="431"/>
      <c r="C8" s="1679"/>
      <c r="D8" s="1680"/>
      <c r="E8" s="771" t="s">
        <v>2063</v>
      </c>
      <c r="F8" s="772"/>
      <c r="G8" s="772"/>
      <c r="H8" s="772"/>
      <c r="I8" s="772"/>
      <c r="J8" s="772"/>
      <c r="K8" s="772"/>
      <c r="L8" s="772"/>
      <c r="M8" s="772"/>
      <c r="N8" s="772"/>
      <c r="O8" s="773"/>
      <c r="P8" s="1082"/>
    </row>
    <row r="9" spans="2:170" ht="21" customHeight="1" x14ac:dyDescent="0.3">
      <c r="B9" s="1665" t="s">
        <v>1</v>
      </c>
      <c r="C9" s="1667"/>
      <c r="D9" s="1668"/>
      <c r="E9" s="771" t="s">
        <v>1281</v>
      </c>
      <c r="F9" s="772"/>
      <c r="G9" s="772"/>
      <c r="H9" s="772"/>
      <c r="I9" s="772"/>
      <c r="J9" s="772"/>
      <c r="K9" s="772"/>
      <c r="L9" s="772"/>
      <c r="M9" s="772"/>
      <c r="N9" s="772"/>
      <c r="O9" s="773"/>
      <c r="P9" s="992">
        <f>IF(S9=2,0.05,IF(S9=3,0.2,IF(S9=4,0.4,IF(S9=5,0.73,0))))</f>
        <v>0</v>
      </c>
      <c r="R9" s="146" t="s">
        <v>2296</v>
      </c>
      <c r="S9" s="556">
        <v>1</v>
      </c>
    </row>
    <row r="10" spans="2:170" ht="44.15" customHeight="1" x14ac:dyDescent="0.3">
      <c r="B10" s="1666"/>
      <c r="C10" s="1669"/>
      <c r="D10" s="1670"/>
      <c r="E10" s="776" t="s">
        <v>2065</v>
      </c>
      <c r="F10" s="776"/>
      <c r="G10" s="776"/>
      <c r="H10" s="776"/>
      <c r="I10" s="776"/>
      <c r="J10" s="776"/>
      <c r="K10" s="776"/>
      <c r="L10" s="776"/>
      <c r="M10" s="776"/>
      <c r="N10" s="776"/>
      <c r="O10" s="776"/>
      <c r="P10" s="1081"/>
      <c r="R10" s="682"/>
    </row>
    <row r="11" spans="2:170" ht="44.15" customHeight="1" x14ac:dyDescent="0.3">
      <c r="B11" s="442"/>
      <c r="C11" s="1669"/>
      <c r="D11" s="1670"/>
      <c r="E11" s="776" t="s">
        <v>2066</v>
      </c>
      <c r="F11" s="776"/>
      <c r="G11" s="776"/>
      <c r="H11" s="776"/>
      <c r="I11" s="776"/>
      <c r="J11" s="776"/>
      <c r="K11" s="776"/>
      <c r="L11" s="776"/>
      <c r="M11" s="776"/>
      <c r="N11" s="776"/>
      <c r="O11" s="776"/>
      <c r="P11" s="1081"/>
    </row>
    <row r="12" spans="2:170" ht="44.15" customHeight="1" x14ac:dyDescent="0.3">
      <c r="B12" s="442"/>
      <c r="C12" s="1669"/>
      <c r="D12" s="1670"/>
      <c r="E12" s="776" t="s">
        <v>2067</v>
      </c>
      <c r="F12" s="776"/>
      <c r="G12" s="776"/>
      <c r="H12" s="776"/>
      <c r="I12" s="776"/>
      <c r="J12" s="776"/>
      <c r="K12" s="776"/>
      <c r="L12" s="776"/>
      <c r="M12" s="776"/>
      <c r="N12" s="776"/>
      <c r="O12" s="776"/>
      <c r="P12" s="1081"/>
    </row>
    <row r="13" spans="2:170" ht="44.15" customHeight="1" x14ac:dyDescent="0.3">
      <c r="B13" s="443"/>
      <c r="C13" s="1671"/>
      <c r="D13" s="1672"/>
      <c r="E13" s="776" t="s">
        <v>2068</v>
      </c>
      <c r="F13" s="776"/>
      <c r="G13" s="776"/>
      <c r="H13" s="776"/>
      <c r="I13" s="776"/>
      <c r="J13" s="776"/>
      <c r="K13" s="776"/>
      <c r="L13" s="776"/>
      <c r="M13" s="776"/>
      <c r="N13" s="776"/>
      <c r="O13" s="776"/>
      <c r="P13" s="1082"/>
    </row>
    <row r="14" spans="2:170" ht="24" customHeight="1" x14ac:dyDescent="0.3">
      <c r="B14" s="417" t="s">
        <v>125</v>
      </c>
      <c r="C14" s="1674"/>
      <c r="D14" s="1674"/>
      <c r="E14" s="776" t="s">
        <v>1281</v>
      </c>
      <c r="F14" s="776"/>
      <c r="G14" s="776"/>
      <c r="H14" s="776"/>
      <c r="I14" s="776"/>
      <c r="J14" s="776"/>
      <c r="K14" s="776"/>
      <c r="L14" s="776"/>
      <c r="M14" s="776"/>
      <c r="N14" s="776"/>
      <c r="O14" s="776"/>
      <c r="P14" s="992">
        <f>IF(S14=2,0.05,0)</f>
        <v>0</v>
      </c>
      <c r="R14" s="146" t="s">
        <v>2296</v>
      </c>
      <c r="S14" s="556">
        <v>1</v>
      </c>
    </row>
    <row r="15" spans="2:170" ht="82.5" customHeight="1" x14ac:dyDescent="0.3">
      <c r="B15" s="431"/>
      <c r="C15" s="1674"/>
      <c r="D15" s="1674"/>
      <c r="E15" s="771" t="s">
        <v>1591</v>
      </c>
      <c r="F15" s="772"/>
      <c r="G15" s="772"/>
      <c r="H15" s="772"/>
      <c r="I15" s="772"/>
      <c r="J15" s="772"/>
      <c r="K15" s="772"/>
      <c r="L15" s="772"/>
      <c r="M15" s="772"/>
      <c r="N15" s="772"/>
      <c r="O15" s="773"/>
      <c r="P15" s="1082"/>
      <c r="R15" s="682"/>
    </row>
    <row r="16" spans="2:170" ht="19.5" customHeight="1" x14ac:dyDescent="0.3">
      <c r="C16" s="1673"/>
      <c r="D16" s="1673"/>
      <c r="E16" s="1673"/>
      <c r="F16" s="1673"/>
      <c r="G16" s="1673"/>
      <c r="H16" s="1673"/>
      <c r="I16" s="1673"/>
      <c r="J16" s="1673"/>
      <c r="K16" s="1673"/>
      <c r="L16" s="1673"/>
      <c r="M16" s="1673"/>
      <c r="N16" s="1673"/>
      <c r="O16" s="1673"/>
    </row>
    <row r="17" spans="2:23" ht="19.5" customHeight="1" x14ac:dyDescent="0.3">
      <c r="C17" s="175"/>
      <c r="D17" s="175"/>
      <c r="E17" s="175"/>
      <c r="F17" s="175"/>
      <c r="G17" s="175"/>
      <c r="H17" s="175"/>
      <c r="I17" s="175"/>
      <c r="J17" s="175"/>
      <c r="K17" s="175"/>
      <c r="L17" s="175"/>
      <c r="M17" s="175"/>
      <c r="N17" s="175"/>
      <c r="O17" s="175"/>
    </row>
    <row r="18" spans="2:23" ht="30" customHeight="1" x14ac:dyDescent="0.3">
      <c r="B18" s="879" t="s">
        <v>1817</v>
      </c>
      <c r="C18" s="880"/>
      <c r="D18" s="880"/>
      <c r="E18" s="880"/>
      <c r="F18" s="880"/>
      <c r="G18" s="880"/>
      <c r="H18" s="880"/>
      <c r="I18" s="880"/>
      <c r="J18" s="880"/>
      <c r="K18" s="880"/>
      <c r="L18" s="880"/>
      <c r="M18" s="880"/>
      <c r="N18" s="881"/>
      <c r="O18" s="19" t="s">
        <v>1524</v>
      </c>
      <c r="P18" s="319" t="s">
        <v>1303</v>
      </c>
      <c r="R18" s="128" t="s">
        <v>2294</v>
      </c>
      <c r="T18" s="146" t="s">
        <v>1303</v>
      </c>
      <c r="U18" s="13" t="s">
        <v>1304</v>
      </c>
      <c r="V18" s="673" t="s">
        <v>1305</v>
      </c>
      <c r="W18" s="13" t="s">
        <v>1306</v>
      </c>
    </row>
    <row r="19" spans="2:23" ht="19.5" customHeight="1" x14ac:dyDescent="0.3">
      <c r="B19" s="806" t="s">
        <v>123</v>
      </c>
      <c r="C19" s="806"/>
      <c r="D19" s="806"/>
      <c r="E19" s="806"/>
      <c r="F19" s="806"/>
      <c r="G19" s="806"/>
      <c r="H19" s="806"/>
      <c r="I19" s="806"/>
      <c r="J19" s="806"/>
      <c r="K19" s="806"/>
      <c r="L19" s="936">
        <f>P4</f>
        <v>0</v>
      </c>
      <c r="M19" s="936"/>
      <c r="N19" s="936"/>
      <c r="O19" s="216"/>
      <c r="P19" s="248">
        <f>IF(AND(R19&gt;0,R19&lt;0.01),0.01,ROUND(R19,2))</f>
        <v>0</v>
      </c>
      <c r="R19" s="559">
        <f>IF(O19&gt;0,L19*O19,L19)</f>
        <v>0</v>
      </c>
      <c r="S19" s="237"/>
      <c r="T19" s="394">
        <f>P19</f>
        <v>0</v>
      </c>
      <c r="U19" s="370">
        <f>LARGE($T$19:$T$21,1)</f>
        <v>0</v>
      </c>
      <c r="V19" s="408">
        <f>U19+U20*(1-U19)</f>
        <v>0</v>
      </c>
      <c r="W19" s="394">
        <f>ROUND(V19,2)</f>
        <v>0</v>
      </c>
    </row>
    <row r="20" spans="2:23" ht="19.5" customHeight="1" x14ac:dyDescent="0.3">
      <c r="B20" s="776" t="s">
        <v>124</v>
      </c>
      <c r="C20" s="776"/>
      <c r="D20" s="776"/>
      <c r="E20" s="776"/>
      <c r="F20" s="776"/>
      <c r="G20" s="776"/>
      <c r="H20" s="776"/>
      <c r="I20" s="776"/>
      <c r="J20" s="776"/>
      <c r="K20" s="776"/>
      <c r="L20" s="936">
        <f>P9</f>
        <v>0</v>
      </c>
      <c r="M20" s="936"/>
      <c r="N20" s="936"/>
      <c r="O20" s="216"/>
      <c r="P20" s="248">
        <f>IF(AND(R20&gt;0,R20&lt;0.01),0.01,ROUND(R20,2))</f>
        <v>0</v>
      </c>
      <c r="R20" s="559">
        <f>IF(O20&gt;0,L20*O20,L20)</f>
        <v>0</v>
      </c>
      <c r="S20" s="237"/>
      <c r="T20" s="394">
        <f>P20</f>
        <v>0</v>
      </c>
      <c r="U20" s="370">
        <f>LARGE($T$19:$T$21,2)</f>
        <v>0</v>
      </c>
      <c r="V20" s="408">
        <f>W19+U21*(1-W19)</f>
        <v>0</v>
      </c>
      <c r="W20" s="394">
        <f>ROUND(V20,2)</f>
        <v>0</v>
      </c>
    </row>
    <row r="21" spans="2:23" ht="19.5" customHeight="1" x14ac:dyDescent="0.3">
      <c r="B21" s="771" t="s">
        <v>125</v>
      </c>
      <c r="C21" s="772"/>
      <c r="D21" s="772"/>
      <c r="E21" s="772"/>
      <c r="F21" s="772"/>
      <c r="G21" s="772"/>
      <c r="H21" s="772"/>
      <c r="I21" s="772"/>
      <c r="J21" s="772"/>
      <c r="K21" s="773"/>
      <c r="L21" s="936">
        <f>P14</f>
        <v>0</v>
      </c>
      <c r="M21" s="936"/>
      <c r="N21" s="936"/>
      <c r="O21" s="216"/>
      <c r="P21" s="248">
        <f>IF(AND(R21&gt;0,R21&lt;0.01),0.01,ROUND(R21,2))</f>
        <v>0</v>
      </c>
      <c r="R21" s="559">
        <f>IF(O21&gt;0,L21*O21,L21)</f>
        <v>0</v>
      </c>
      <c r="S21" s="237"/>
      <c r="T21" s="394">
        <f>P21</f>
        <v>0</v>
      </c>
      <c r="U21" s="370">
        <f>LARGE($T$19:$T$21,3)</f>
        <v>0</v>
      </c>
    </row>
    <row r="22" spans="2:23" ht="21" customHeight="1" x14ac:dyDescent="0.3">
      <c r="B22" s="1455" t="s">
        <v>126</v>
      </c>
      <c r="C22" s="1456"/>
      <c r="D22" s="1456"/>
      <c r="E22" s="1456"/>
      <c r="F22" s="1456"/>
      <c r="G22" s="1456"/>
      <c r="H22" s="1456"/>
      <c r="I22" s="1456"/>
      <c r="J22" s="1456"/>
      <c r="K22" s="1456"/>
      <c r="L22" s="1456"/>
      <c r="M22" s="1456"/>
      <c r="N22" s="1456"/>
      <c r="O22" s="1457"/>
      <c r="P22" s="250">
        <f>W20</f>
        <v>0</v>
      </c>
    </row>
    <row r="23" spans="2:23" ht="30" customHeight="1" x14ac:dyDescent="0.35">
      <c r="B23" s="1049" t="s">
        <v>947</v>
      </c>
      <c r="C23" s="1049"/>
      <c r="D23" s="1049"/>
      <c r="E23" s="1049"/>
      <c r="F23" s="1049"/>
      <c r="G23" s="1049"/>
      <c r="H23" s="1049"/>
      <c r="I23" s="1049"/>
      <c r="J23" s="1049"/>
      <c r="K23" s="1049"/>
      <c r="L23" s="1049"/>
      <c r="M23" s="1049"/>
      <c r="N23" s="1049"/>
      <c r="O23" s="1049"/>
      <c r="P23" s="1049"/>
    </row>
    <row r="24" spans="2:23" x14ac:dyDescent="0.3">
      <c r="B24" s="247" t="s">
        <v>790</v>
      </c>
      <c r="C24" s="1336" t="str">
        <f>IF(U1&lt;&gt;"",U1,"")</f>
        <v>Go to PPD Worksheet</v>
      </c>
      <c r="D24" s="1336"/>
      <c r="E24" s="1336"/>
      <c r="F24" s="1336"/>
      <c r="G24" s="1336"/>
      <c r="H24" s="1336"/>
      <c r="I24" s="1527" t="str">
        <f>IF(T1&lt;&gt;"",T1,"")</f>
        <v/>
      </c>
      <c r="J24" s="1527"/>
      <c r="K24" s="1527"/>
      <c r="L24" s="1527"/>
      <c r="M24" s="1527"/>
      <c r="N24" s="1527"/>
    </row>
    <row r="26" spans="2:23" hidden="1" x14ac:dyDescent="0.3">
      <c r="B26" s="2">
        <v>0.01</v>
      </c>
      <c r="C26" s="2">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1.1796875" style="2" hidden="1" customWidth="1"/>
    <col min="23" max="23" width="10.54296875" style="2" hidden="1" customWidth="1"/>
    <col min="24" max="130" width="3" style="2" hidden="1" customWidth="1"/>
    <col min="131" max="255" width="3" style="2" customWidth="1"/>
    <col min="256" max="16384" width="3" style="2"/>
  </cols>
  <sheetData>
    <row r="1" spans="1: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A2" s="15"/>
      <c r="B2" s="792"/>
      <c r="C2" s="792"/>
      <c r="D2" s="792"/>
      <c r="E2" s="792"/>
      <c r="F2" s="792"/>
      <c r="G2" s="792"/>
      <c r="H2" s="792"/>
      <c r="I2" s="792"/>
      <c r="J2" s="792"/>
      <c r="K2" s="792"/>
      <c r="L2" s="792"/>
      <c r="M2" s="792"/>
      <c r="N2" s="792"/>
      <c r="O2" s="792"/>
      <c r="P2" s="792"/>
    </row>
    <row r="3" spans="1:170" ht="24" customHeight="1" x14ac:dyDescent="0.4">
      <c r="B3" s="920" t="s">
        <v>1458</v>
      </c>
      <c r="C3" s="920"/>
      <c r="D3" s="920"/>
      <c r="E3" s="920"/>
      <c r="F3" s="920"/>
      <c r="G3" s="920"/>
      <c r="H3" s="920"/>
      <c r="I3" s="920"/>
      <c r="J3" s="920"/>
      <c r="K3" s="920"/>
      <c r="L3" s="920"/>
      <c r="M3" s="920"/>
      <c r="N3" s="920"/>
      <c r="O3" s="920"/>
      <c r="P3" s="920"/>
    </row>
    <row r="4" spans="1:170" ht="21" customHeight="1" x14ac:dyDescent="0.3">
      <c r="B4" s="1625" t="s">
        <v>1459</v>
      </c>
      <c r="C4" s="1675"/>
      <c r="D4" s="1676"/>
      <c r="E4" s="776" t="s">
        <v>1281</v>
      </c>
      <c r="F4" s="776"/>
      <c r="G4" s="776"/>
      <c r="H4" s="776"/>
      <c r="I4" s="776"/>
      <c r="J4" s="776"/>
      <c r="K4" s="776"/>
      <c r="L4" s="776"/>
      <c r="M4" s="776"/>
      <c r="N4" s="776"/>
      <c r="O4" s="776"/>
      <c r="P4" s="992">
        <f>IF(S4=2,0.08,IF(S4=3,0.25,IF(S4=4,0.5,0)))</f>
        <v>0</v>
      </c>
      <c r="R4" s="146" t="s">
        <v>2296</v>
      </c>
      <c r="S4" s="556">
        <v>1</v>
      </c>
    </row>
    <row r="5" spans="1:170" ht="21" customHeight="1" x14ac:dyDescent="0.3">
      <c r="B5" s="1626"/>
      <c r="C5" s="1677"/>
      <c r="D5" s="1678"/>
      <c r="E5" s="771" t="s">
        <v>121</v>
      </c>
      <c r="F5" s="772"/>
      <c r="G5" s="772"/>
      <c r="H5" s="772"/>
      <c r="I5" s="772"/>
      <c r="J5" s="772"/>
      <c r="K5" s="772"/>
      <c r="L5" s="772"/>
      <c r="M5" s="772"/>
      <c r="N5" s="772"/>
      <c r="O5" s="773"/>
      <c r="P5" s="1081"/>
      <c r="R5" s="58"/>
    </row>
    <row r="6" spans="1:170" ht="21" customHeight="1" x14ac:dyDescent="0.3">
      <c r="B6" s="1626"/>
      <c r="C6" s="1677"/>
      <c r="D6" s="1678"/>
      <c r="E6" s="771" t="s">
        <v>122</v>
      </c>
      <c r="F6" s="772"/>
      <c r="G6" s="772"/>
      <c r="H6" s="772"/>
      <c r="I6" s="772"/>
      <c r="J6" s="772"/>
      <c r="K6" s="772"/>
      <c r="L6" s="772"/>
      <c r="M6" s="772"/>
      <c r="N6" s="772"/>
      <c r="O6" s="773"/>
      <c r="P6" s="1081"/>
    </row>
    <row r="7" spans="1:170" ht="28.5" customHeight="1" x14ac:dyDescent="0.3">
      <c r="B7" s="1646"/>
      <c r="C7" s="1677"/>
      <c r="D7" s="1678"/>
      <c r="E7" s="771" t="s">
        <v>1769</v>
      </c>
      <c r="F7" s="772"/>
      <c r="G7" s="772"/>
      <c r="H7" s="772"/>
      <c r="I7" s="772"/>
      <c r="J7" s="772"/>
      <c r="K7" s="772"/>
      <c r="L7" s="772"/>
      <c r="M7" s="772"/>
      <c r="N7" s="772"/>
      <c r="O7" s="773"/>
      <c r="P7" s="1082"/>
    </row>
    <row r="8" spans="1:170" ht="21.75" customHeight="1" x14ac:dyDescent="0.3">
      <c r="B8" s="1665" t="s">
        <v>106</v>
      </c>
      <c r="C8" s="1667"/>
      <c r="D8" s="1668"/>
      <c r="E8" s="776" t="s">
        <v>1281</v>
      </c>
      <c r="F8" s="776"/>
      <c r="G8" s="776"/>
      <c r="H8" s="776"/>
      <c r="I8" s="776"/>
      <c r="J8" s="776"/>
      <c r="K8" s="776"/>
      <c r="L8" s="776"/>
      <c r="M8" s="776"/>
      <c r="N8" s="776"/>
      <c r="O8" s="776"/>
      <c r="P8" s="992">
        <f>IF(S8=2,0.03,IF(S8=3,0.15,IF(S8=4,0.35,IF(S8=5,0.63,0))))</f>
        <v>0</v>
      </c>
      <c r="R8" s="146" t="s">
        <v>2296</v>
      </c>
      <c r="S8" s="556">
        <v>1</v>
      </c>
    </row>
    <row r="9" spans="1:170" ht="69" customHeight="1" x14ac:dyDescent="0.3">
      <c r="B9" s="1666"/>
      <c r="C9" s="1669"/>
      <c r="D9" s="1670"/>
      <c r="E9" s="776" t="s">
        <v>2069</v>
      </c>
      <c r="F9" s="776"/>
      <c r="G9" s="776"/>
      <c r="H9" s="776"/>
      <c r="I9" s="776"/>
      <c r="J9" s="776"/>
      <c r="K9" s="776"/>
      <c r="L9" s="776"/>
      <c r="M9" s="776"/>
      <c r="N9" s="776"/>
      <c r="O9" s="776"/>
      <c r="P9" s="1081"/>
      <c r="R9" s="682"/>
    </row>
    <row r="10" spans="1:170" ht="79.5" customHeight="1" x14ac:dyDescent="0.3">
      <c r="B10" s="1666"/>
      <c r="C10" s="1669"/>
      <c r="D10" s="1670"/>
      <c r="E10" s="776" t="s">
        <v>2137</v>
      </c>
      <c r="F10" s="776"/>
      <c r="G10" s="776"/>
      <c r="H10" s="776"/>
      <c r="I10" s="776"/>
      <c r="J10" s="776"/>
      <c r="K10" s="776"/>
      <c r="L10" s="776"/>
      <c r="M10" s="776"/>
      <c r="N10" s="776"/>
      <c r="O10" s="776"/>
      <c r="P10" s="1081"/>
    </row>
    <row r="11" spans="1:170" ht="80.25" customHeight="1" x14ac:dyDescent="0.3">
      <c r="B11" s="444"/>
      <c r="C11" s="1669"/>
      <c r="D11" s="1670"/>
      <c r="E11" s="776" t="s">
        <v>2138</v>
      </c>
      <c r="F11" s="776"/>
      <c r="G11" s="776"/>
      <c r="H11" s="776"/>
      <c r="I11" s="776"/>
      <c r="J11" s="776"/>
      <c r="K11" s="776"/>
      <c r="L11" s="776"/>
      <c r="M11" s="776"/>
      <c r="N11" s="776"/>
      <c r="O11" s="776"/>
      <c r="P11" s="1081"/>
    </row>
    <row r="12" spans="1:170" ht="82.5" customHeight="1" x14ac:dyDescent="0.3">
      <c r="B12" s="445"/>
      <c r="C12" s="1671"/>
      <c r="D12" s="1672"/>
      <c r="E12" s="776" t="s">
        <v>2070</v>
      </c>
      <c r="F12" s="776"/>
      <c r="G12" s="776"/>
      <c r="H12" s="776"/>
      <c r="I12" s="776"/>
      <c r="J12" s="776"/>
      <c r="K12" s="776"/>
      <c r="L12" s="776"/>
      <c r="M12" s="776"/>
      <c r="N12" s="776"/>
      <c r="O12" s="776"/>
      <c r="P12" s="1082"/>
    </row>
    <row r="13" spans="1:170" ht="21" customHeight="1" x14ac:dyDescent="0.3">
      <c r="B13" s="1625" t="s">
        <v>297</v>
      </c>
      <c r="C13" s="1667"/>
      <c r="D13" s="1668"/>
      <c r="E13" s="776" t="s">
        <v>1281</v>
      </c>
      <c r="F13" s="776"/>
      <c r="G13" s="776"/>
      <c r="H13" s="776"/>
      <c r="I13" s="776"/>
      <c r="J13" s="776"/>
      <c r="K13" s="776"/>
      <c r="L13" s="776"/>
      <c r="M13" s="776"/>
      <c r="N13" s="776"/>
      <c r="O13" s="776"/>
      <c r="P13" s="992">
        <f>IF(S13=2,0.03,IF(S13=3,0.15,IF(S13=4,0.3,IF(S13=5,0.5,0))))</f>
        <v>0</v>
      </c>
      <c r="R13" s="146" t="s">
        <v>2296</v>
      </c>
      <c r="S13" s="556">
        <v>1</v>
      </c>
    </row>
    <row r="14" spans="1:170" ht="81" customHeight="1" x14ac:dyDescent="0.3">
      <c r="B14" s="1666"/>
      <c r="C14" s="1669"/>
      <c r="D14" s="1670"/>
      <c r="E14" s="771" t="s">
        <v>1625</v>
      </c>
      <c r="F14" s="772"/>
      <c r="G14" s="772"/>
      <c r="H14" s="772"/>
      <c r="I14" s="772"/>
      <c r="J14" s="772"/>
      <c r="K14" s="772"/>
      <c r="L14" s="772"/>
      <c r="M14" s="772"/>
      <c r="N14" s="772"/>
      <c r="O14" s="773"/>
      <c r="P14" s="846"/>
      <c r="R14" s="682"/>
    </row>
    <row r="15" spans="1:170" ht="79.5" customHeight="1" x14ac:dyDescent="0.3">
      <c r="B15" s="421"/>
      <c r="C15" s="1669"/>
      <c r="D15" s="1670"/>
      <c r="E15" s="771" t="s">
        <v>1783</v>
      </c>
      <c r="F15" s="772"/>
      <c r="G15" s="772"/>
      <c r="H15" s="772"/>
      <c r="I15" s="772"/>
      <c r="J15" s="772"/>
      <c r="K15" s="772"/>
      <c r="L15" s="772"/>
      <c r="M15" s="772"/>
      <c r="N15" s="772"/>
      <c r="O15" s="773"/>
      <c r="P15" s="846"/>
    </row>
    <row r="16" spans="1:170" ht="93" customHeight="1" x14ac:dyDescent="0.3">
      <c r="B16" s="421"/>
      <c r="C16" s="1669"/>
      <c r="D16" s="1670"/>
      <c r="E16" s="771" t="s">
        <v>173</v>
      </c>
      <c r="F16" s="772"/>
      <c r="G16" s="772"/>
      <c r="H16" s="772"/>
      <c r="I16" s="772"/>
      <c r="J16" s="772"/>
      <c r="K16" s="772"/>
      <c r="L16" s="772"/>
      <c r="M16" s="772"/>
      <c r="N16" s="772"/>
      <c r="O16" s="773"/>
      <c r="P16" s="846"/>
    </row>
    <row r="17" spans="2:20" ht="106.5" customHeight="1" x14ac:dyDescent="0.3">
      <c r="B17" s="431"/>
      <c r="C17" s="1671"/>
      <c r="D17" s="1672"/>
      <c r="E17" s="771" t="s">
        <v>2084</v>
      </c>
      <c r="F17" s="772"/>
      <c r="G17" s="772"/>
      <c r="H17" s="772"/>
      <c r="I17" s="772"/>
      <c r="J17" s="772"/>
      <c r="K17" s="772"/>
      <c r="L17" s="772"/>
      <c r="M17" s="772"/>
      <c r="N17" s="772"/>
      <c r="O17" s="773"/>
      <c r="P17" s="847"/>
    </row>
    <row r="18" spans="2:20" ht="21" customHeight="1" x14ac:dyDescent="0.3">
      <c r="B18" s="1625" t="s">
        <v>1579</v>
      </c>
      <c r="C18" s="1667"/>
      <c r="D18" s="1668"/>
      <c r="E18" s="776" t="s">
        <v>1281</v>
      </c>
      <c r="F18" s="776"/>
      <c r="G18" s="776"/>
      <c r="H18" s="776"/>
      <c r="I18" s="776"/>
      <c r="J18" s="776"/>
      <c r="K18" s="776"/>
      <c r="L18" s="776"/>
      <c r="M18" s="776"/>
      <c r="N18" s="776"/>
      <c r="O18" s="776"/>
      <c r="P18" s="992">
        <f>IF(S18=2,0.03,IF(S18=3,0.13,IF(S18=4,0.23,0)))</f>
        <v>0</v>
      </c>
      <c r="R18" s="146" t="s">
        <v>2296</v>
      </c>
      <c r="S18" s="556">
        <v>1</v>
      </c>
    </row>
    <row r="19" spans="2:20" ht="57" customHeight="1" x14ac:dyDescent="0.3">
      <c r="B19" s="1666"/>
      <c r="C19" s="1669"/>
      <c r="D19" s="1670"/>
      <c r="E19" s="771" t="s">
        <v>2139</v>
      </c>
      <c r="F19" s="772"/>
      <c r="G19" s="772"/>
      <c r="H19" s="772"/>
      <c r="I19" s="772"/>
      <c r="J19" s="772"/>
      <c r="K19" s="772"/>
      <c r="L19" s="772"/>
      <c r="M19" s="772"/>
      <c r="N19" s="772"/>
      <c r="O19" s="773"/>
      <c r="P19" s="1081"/>
      <c r="R19" s="682"/>
    </row>
    <row r="20" spans="2:20" ht="78" customHeight="1" x14ac:dyDescent="0.3">
      <c r="B20" s="446"/>
      <c r="C20" s="1669"/>
      <c r="D20" s="1670"/>
      <c r="E20" s="771" t="s">
        <v>1658</v>
      </c>
      <c r="F20" s="1185"/>
      <c r="G20" s="1185"/>
      <c r="H20" s="1185"/>
      <c r="I20" s="1185"/>
      <c r="J20" s="1185"/>
      <c r="K20" s="1185"/>
      <c r="L20" s="1185"/>
      <c r="M20" s="1185"/>
      <c r="N20" s="1185"/>
      <c r="O20" s="1186"/>
      <c r="P20" s="1081"/>
    </row>
    <row r="21" spans="2:20" ht="69.75" customHeight="1" x14ac:dyDescent="0.3">
      <c r="B21" s="447"/>
      <c r="C21" s="1671"/>
      <c r="D21" s="1672"/>
      <c r="E21" s="771" t="s">
        <v>471</v>
      </c>
      <c r="F21" s="772"/>
      <c r="G21" s="772"/>
      <c r="H21" s="772"/>
      <c r="I21" s="772"/>
      <c r="J21" s="772"/>
      <c r="K21" s="772"/>
      <c r="L21" s="772"/>
      <c r="M21" s="772"/>
      <c r="N21" s="772"/>
      <c r="O21" s="773"/>
      <c r="P21" s="1082"/>
    </row>
    <row r="22" spans="2:20" ht="21" customHeight="1" x14ac:dyDescent="0.3">
      <c r="B22" s="1625" t="s">
        <v>1580</v>
      </c>
      <c r="C22" s="1667"/>
      <c r="D22" s="1668"/>
      <c r="E22" s="776" t="s">
        <v>1281</v>
      </c>
      <c r="F22" s="776"/>
      <c r="G22" s="776"/>
      <c r="H22" s="776"/>
      <c r="I22" s="776"/>
      <c r="J22" s="776"/>
      <c r="K22" s="776"/>
      <c r="L22" s="776"/>
      <c r="M22" s="776"/>
      <c r="N22" s="776"/>
      <c r="O22" s="776"/>
      <c r="P22" s="992">
        <f>IF(S22=2,0.05,IF(S22=3,0.2,IF(S22=4,0.4,IF(S22=5,0.75,0))))</f>
        <v>0</v>
      </c>
      <c r="R22" s="146" t="s">
        <v>2296</v>
      </c>
      <c r="S22" s="556">
        <v>1</v>
      </c>
    </row>
    <row r="23" spans="2:20" ht="93" customHeight="1" x14ac:dyDescent="0.3">
      <c r="B23" s="1666"/>
      <c r="C23" s="1669"/>
      <c r="D23" s="1670"/>
      <c r="E23" s="771" t="s">
        <v>2071</v>
      </c>
      <c r="F23" s="772"/>
      <c r="G23" s="772"/>
      <c r="H23" s="772"/>
      <c r="I23" s="772"/>
      <c r="J23" s="772"/>
      <c r="K23" s="772"/>
      <c r="L23" s="772"/>
      <c r="M23" s="772"/>
      <c r="N23" s="772"/>
      <c r="O23" s="773"/>
      <c r="P23" s="1081"/>
      <c r="R23" s="682"/>
    </row>
    <row r="24" spans="2:20" ht="78" customHeight="1" x14ac:dyDescent="0.3">
      <c r="B24" s="421"/>
      <c r="C24" s="1669"/>
      <c r="D24" s="1670"/>
      <c r="E24" s="771" t="s">
        <v>2208</v>
      </c>
      <c r="F24" s="772"/>
      <c r="G24" s="772"/>
      <c r="H24" s="772"/>
      <c r="I24" s="772"/>
      <c r="J24" s="772"/>
      <c r="K24" s="772"/>
      <c r="L24" s="772"/>
      <c r="M24" s="772"/>
      <c r="N24" s="772"/>
      <c r="O24" s="773"/>
      <c r="P24" s="1081"/>
    </row>
    <row r="25" spans="2:20" ht="68.25" customHeight="1" x14ac:dyDescent="0.3">
      <c r="B25" s="421"/>
      <c r="C25" s="1669"/>
      <c r="D25" s="1670"/>
      <c r="E25" s="771" t="s">
        <v>2072</v>
      </c>
      <c r="F25" s="772"/>
      <c r="G25" s="772"/>
      <c r="H25" s="772"/>
      <c r="I25" s="772"/>
      <c r="J25" s="772"/>
      <c r="K25" s="772"/>
      <c r="L25" s="772"/>
      <c r="M25" s="772"/>
      <c r="N25" s="772"/>
      <c r="O25" s="773"/>
      <c r="P25" s="1081"/>
    </row>
    <row r="26" spans="2:20" ht="70.5" customHeight="1" x14ac:dyDescent="0.3">
      <c r="B26" s="431"/>
      <c r="C26" s="1671"/>
      <c r="D26" s="1672"/>
      <c r="E26" s="771" t="s">
        <v>2073</v>
      </c>
      <c r="F26" s="772"/>
      <c r="G26" s="772"/>
      <c r="H26" s="772"/>
      <c r="I26" s="772"/>
      <c r="J26" s="772"/>
      <c r="K26" s="772"/>
      <c r="L26" s="772"/>
      <c r="M26" s="772"/>
      <c r="N26" s="772"/>
      <c r="O26" s="773"/>
      <c r="P26" s="1082"/>
    </row>
    <row r="27" spans="2:20" ht="21" customHeight="1" x14ac:dyDescent="0.3">
      <c r="B27" s="270" t="s">
        <v>622</v>
      </c>
      <c r="C27" s="1682"/>
      <c r="D27" s="1683"/>
      <c r="E27" s="771" t="s">
        <v>623</v>
      </c>
      <c r="F27" s="772"/>
      <c r="G27" s="772"/>
      <c r="H27" s="772"/>
      <c r="I27" s="772"/>
      <c r="J27" s="772"/>
      <c r="K27" s="772"/>
      <c r="L27" s="772"/>
      <c r="M27" s="772"/>
      <c r="N27" s="772"/>
      <c r="O27" s="773"/>
      <c r="P27" s="21">
        <f>IF(T27=1,0.5,0)</f>
        <v>0</v>
      </c>
      <c r="R27" s="128" t="s">
        <v>2295</v>
      </c>
      <c r="S27" s="556" t="b">
        <v>0</v>
      </c>
      <c r="T27" s="310">
        <f>IF(S27=TRUE,1,0)</f>
        <v>0</v>
      </c>
    </row>
    <row r="28" spans="2:20" ht="21" customHeight="1" x14ac:dyDescent="0.3">
      <c r="B28" s="1625" t="s">
        <v>1873</v>
      </c>
      <c r="C28" s="1667"/>
      <c r="D28" s="1668"/>
      <c r="E28" s="776" t="s">
        <v>1281</v>
      </c>
      <c r="F28" s="776"/>
      <c r="G28" s="776"/>
      <c r="H28" s="776"/>
      <c r="I28" s="776"/>
      <c r="J28" s="776"/>
      <c r="K28" s="776"/>
      <c r="L28" s="776"/>
      <c r="M28" s="776"/>
      <c r="N28" s="776"/>
      <c r="O28" s="776"/>
      <c r="P28" s="992">
        <f>IF(S28=2,0.05,IF(S28=3,0.2,IF(S28=4,0.4,IF(S28=5,0.75,0))))</f>
        <v>0</v>
      </c>
      <c r="R28" s="146" t="s">
        <v>2296</v>
      </c>
      <c r="S28" s="556">
        <v>1</v>
      </c>
    </row>
    <row r="29" spans="2:20" ht="21" customHeight="1" x14ac:dyDescent="0.3">
      <c r="B29" s="1666"/>
      <c r="C29" s="1669"/>
      <c r="D29" s="1670"/>
      <c r="E29" s="771" t="s">
        <v>2085</v>
      </c>
      <c r="F29" s="772"/>
      <c r="G29" s="772"/>
      <c r="H29" s="772"/>
      <c r="I29" s="772"/>
      <c r="J29" s="772"/>
      <c r="K29" s="772"/>
      <c r="L29" s="772"/>
      <c r="M29" s="772"/>
      <c r="N29" s="772"/>
      <c r="O29" s="773"/>
      <c r="P29" s="1081"/>
      <c r="R29" s="682"/>
    </row>
    <row r="30" spans="2:20" ht="27" customHeight="1" x14ac:dyDescent="0.3">
      <c r="B30" s="1666"/>
      <c r="C30" s="1669"/>
      <c r="D30" s="1670"/>
      <c r="E30" s="771" t="s">
        <v>2086</v>
      </c>
      <c r="F30" s="772"/>
      <c r="G30" s="772"/>
      <c r="H30" s="772"/>
      <c r="I30" s="772"/>
      <c r="J30" s="772"/>
      <c r="K30" s="772"/>
      <c r="L30" s="772"/>
      <c r="M30" s="772"/>
      <c r="N30" s="772"/>
      <c r="O30" s="773"/>
      <c r="P30" s="1081"/>
    </row>
    <row r="31" spans="2:20" ht="27" customHeight="1" x14ac:dyDescent="0.3">
      <c r="B31" s="421"/>
      <c r="C31" s="1669"/>
      <c r="D31" s="1670"/>
      <c r="E31" s="771" t="s">
        <v>2087</v>
      </c>
      <c r="F31" s="772"/>
      <c r="G31" s="772"/>
      <c r="H31" s="772"/>
      <c r="I31" s="772"/>
      <c r="J31" s="772"/>
      <c r="K31" s="772"/>
      <c r="L31" s="772"/>
      <c r="M31" s="772"/>
      <c r="N31" s="772"/>
      <c r="O31" s="773"/>
      <c r="P31" s="1081"/>
    </row>
    <row r="32" spans="2:20" ht="27" customHeight="1" x14ac:dyDescent="0.3">
      <c r="B32" s="431"/>
      <c r="C32" s="1671"/>
      <c r="D32" s="1672"/>
      <c r="E32" s="771" t="s">
        <v>2088</v>
      </c>
      <c r="F32" s="772"/>
      <c r="G32" s="772"/>
      <c r="H32" s="772"/>
      <c r="I32" s="772"/>
      <c r="J32" s="772"/>
      <c r="K32" s="772"/>
      <c r="L32" s="772"/>
      <c r="M32" s="772"/>
      <c r="N32" s="772"/>
      <c r="O32" s="773"/>
      <c r="P32" s="1082"/>
    </row>
    <row r="33" spans="2:28" ht="21" customHeight="1" x14ac:dyDescent="0.3">
      <c r="B33" s="1625" t="s">
        <v>1581</v>
      </c>
      <c r="C33" s="1667"/>
      <c r="D33" s="1668"/>
      <c r="E33" s="776" t="s">
        <v>1281</v>
      </c>
      <c r="F33" s="776"/>
      <c r="G33" s="776"/>
      <c r="H33" s="776"/>
      <c r="I33" s="776"/>
      <c r="J33" s="776"/>
      <c r="K33" s="776"/>
      <c r="L33" s="776"/>
      <c r="M33" s="776"/>
      <c r="N33" s="776"/>
      <c r="O33" s="776"/>
      <c r="P33" s="992">
        <f>IF(S33=2,0.05,IF(S33=3,0.23,IF(S33=4,0.48,IF(S33=5,0.78,0))))</f>
        <v>0</v>
      </c>
      <c r="R33" s="146" t="s">
        <v>2296</v>
      </c>
      <c r="S33" s="556">
        <v>1</v>
      </c>
    </row>
    <row r="34" spans="2:28" ht="69.75" customHeight="1" x14ac:dyDescent="0.3">
      <c r="B34" s="1666"/>
      <c r="C34" s="1669"/>
      <c r="D34" s="1670"/>
      <c r="E34" s="771" t="s">
        <v>2074</v>
      </c>
      <c r="F34" s="772"/>
      <c r="G34" s="772"/>
      <c r="H34" s="772"/>
      <c r="I34" s="772"/>
      <c r="J34" s="772"/>
      <c r="K34" s="772"/>
      <c r="L34" s="772"/>
      <c r="M34" s="772"/>
      <c r="N34" s="772"/>
      <c r="O34" s="773"/>
      <c r="P34" s="1081"/>
      <c r="R34" s="682"/>
    </row>
    <row r="35" spans="2:28" ht="94.5" customHeight="1" x14ac:dyDescent="0.3">
      <c r="B35" s="421"/>
      <c r="C35" s="1669"/>
      <c r="D35" s="1670"/>
      <c r="E35" s="771" t="s">
        <v>2075</v>
      </c>
      <c r="F35" s="772"/>
      <c r="G35" s="772"/>
      <c r="H35" s="772"/>
      <c r="I35" s="772"/>
      <c r="J35" s="772"/>
      <c r="K35" s="772"/>
      <c r="L35" s="772"/>
      <c r="M35" s="772"/>
      <c r="N35" s="772"/>
      <c r="O35" s="773"/>
      <c r="P35" s="1081"/>
    </row>
    <row r="36" spans="2:28" ht="93.75" customHeight="1" x14ac:dyDescent="0.3">
      <c r="B36" s="421"/>
      <c r="C36" s="1669"/>
      <c r="D36" s="1670"/>
      <c r="E36" s="771" t="s">
        <v>2076</v>
      </c>
      <c r="F36" s="772"/>
      <c r="G36" s="772"/>
      <c r="H36" s="772"/>
      <c r="I36" s="772"/>
      <c r="J36" s="772"/>
      <c r="K36" s="772"/>
      <c r="L36" s="772"/>
      <c r="M36" s="772"/>
      <c r="N36" s="772"/>
      <c r="O36" s="773"/>
      <c r="P36" s="1081"/>
    </row>
    <row r="37" spans="2:28" ht="93" customHeight="1" x14ac:dyDescent="0.3">
      <c r="B37" s="431"/>
      <c r="C37" s="1671"/>
      <c r="D37" s="1672"/>
      <c r="E37" s="771" t="s">
        <v>2077</v>
      </c>
      <c r="F37" s="772"/>
      <c r="G37" s="772"/>
      <c r="H37" s="772"/>
      <c r="I37" s="772"/>
      <c r="J37" s="772"/>
      <c r="K37" s="772"/>
      <c r="L37" s="772"/>
      <c r="M37" s="772"/>
      <c r="N37" s="772"/>
      <c r="O37" s="773"/>
      <c r="P37" s="1082"/>
    </row>
    <row r="38" spans="2:28" ht="21" customHeight="1" x14ac:dyDescent="0.3">
      <c r="B38" s="270" t="s">
        <v>1948</v>
      </c>
      <c r="C38" s="1682"/>
      <c r="D38" s="1683"/>
      <c r="E38" s="771" t="s">
        <v>1948</v>
      </c>
      <c r="F38" s="772"/>
      <c r="G38" s="772"/>
      <c r="H38" s="772"/>
      <c r="I38" s="772"/>
      <c r="J38" s="772"/>
      <c r="K38" s="772"/>
      <c r="L38" s="772"/>
      <c r="M38" s="772"/>
      <c r="N38" s="772"/>
      <c r="O38" s="773"/>
      <c r="P38" s="21">
        <f>IF(T38=1,0.1,0)</f>
        <v>0</v>
      </c>
      <c r="R38" s="128" t="s">
        <v>2295</v>
      </c>
      <c r="S38" s="556" t="b">
        <v>0</v>
      </c>
      <c r="T38" s="310">
        <f>IF(S38=TRUE,1,0)</f>
        <v>0</v>
      </c>
    </row>
    <row r="39" spans="2:28" ht="21" customHeight="1" x14ac:dyDescent="0.3">
      <c r="B39" s="1625" t="s">
        <v>1949</v>
      </c>
      <c r="C39" s="1667"/>
      <c r="D39" s="1668"/>
      <c r="E39" s="771" t="s">
        <v>1281</v>
      </c>
      <c r="F39" s="772"/>
      <c r="G39" s="772"/>
      <c r="H39" s="772"/>
      <c r="I39" s="772"/>
      <c r="J39" s="772"/>
      <c r="K39" s="772"/>
      <c r="L39" s="772"/>
      <c r="M39" s="772"/>
      <c r="N39" s="772"/>
      <c r="O39" s="773"/>
      <c r="P39" s="992">
        <f>IF(S39=2,0.1,IF(S39=3,0.1,IF(S39=4,0.15,0)))</f>
        <v>0</v>
      </c>
      <c r="R39" s="146" t="s">
        <v>2296</v>
      </c>
      <c r="S39" s="556">
        <v>1</v>
      </c>
    </row>
    <row r="40" spans="2:28" ht="21" customHeight="1" x14ac:dyDescent="0.3">
      <c r="B40" s="1666"/>
      <c r="C40" s="1669"/>
      <c r="D40" s="1670"/>
      <c r="E40" s="771" t="s">
        <v>1950</v>
      </c>
      <c r="F40" s="772"/>
      <c r="G40" s="772"/>
      <c r="H40" s="772"/>
      <c r="I40" s="772"/>
      <c r="J40" s="772"/>
      <c r="K40" s="772"/>
      <c r="L40" s="772"/>
      <c r="M40" s="772"/>
      <c r="N40" s="772"/>
      <c r="O40" s="773"/>
      <c r="P40" s="1081"/>
      <c r="R40" s="682"/>
    </row>
    <row r="41" spans="2:28" ht="21" customHeight="1" x14ac:dyDescent="0.3">
      <c r="B41" s="421"/>
      <c r="C41" s="1669"/>
      <c r="D41" s="1670"/>
      <c r="E41" s="771" t="s">
        <v>1951</v>
      </c>
      <c r="F41" s="772"/>
      <c r="G41" s="772"/>
      <c r="H41" s="772"/>
      <c r="I41" s="772"/>
      <c r="J41" s="772"/>
      <c r="K41" s="772"/>
      <c r="L41" s="772"/>
      <c r="M41" s="772"/>
      <c r="N41" s="772"/>
      <c r="O41" s="773"/>
      <c r="P41" s="1081"/>
    </row>
    <row r="42" spans="2:28" ht="21" customHeight="1" x14ac:dyDescent="0.3">
      <c r="B42" s="431"/>
      <c r="C42" s="1671"/>
      <c r="D42" s="1672"/>
      <c r="E42" s="771" t="s">
        <v>1952</v>
      </c>
      <c r="F42" s="772"/>
      <c r="G42" s="772"/>
      <c r="H42" s="772"/>
      <c r="I42" s="772"/>
      <c r="J42" s="772"/>
      <c r="K42" s="772"/>
      <c r="L42" s="772"/>
      <c r="M42" s="772"/>
      <c r="N42" s="772"/>
      <c r="O42" s="773"/>
      <c r="P42" s="1082"/>
    </row>
    <row r="43" spans="2:28" ht="21" customHeight="1" x14ac:dyDescent="0.3">
      <c r="B43" s="1625" t="s">
        <v>837</v>
      </c>
      <c r="C43" s="1667"/>
      <c r="D43" s="1668"/>
      <c r="E43" s="776" t="s">
        <v>1281</v>
      </c>
      <c r="F43" s="776"/>
      <c r="G43" s="776"/>
      <c r="H43" s="776"/>
      <c r="I43" s="776"/>
      <c r="J43" s="776"/>
      <c r="K43" s="776"/>
      <c r="L43" s="776"/>
      <c r="M43" s="776"/>
      <c r="N43" s="776"/>
      <c r="O43" s="776"/>
      <c r="P43" s="992">
        <f>IF(S43=2,0.05,IF(S43=3,0.18,IF(S43=4,0.3,IF(S43=5,0.5,0))))</f>
        <v>0</v>
      </c>
      <c r="R43" s="146" t="s">
        <v>2296</v>
      </c>
      <c r="S43" s="556">
        <v>1</v>
      </c>
    </row>
    <row r="44" spans="2:28" ht="42" customHeight="1" x14ac:dyDescent="0.3">
      <c r="B44" s="1666"/>
      <c r="C44" s="1669"/>
      <c r="D44" s="1670"/>
      <c r="E44" s="771" t="s">
        <v>2089</v>
      </c>
      <c r="F44" s="772"/>
      <c r="G44" s="772"/>
      <c r="H44" s="772"/>
      <c r="I44" s="772"/>
      <c r="J44" s="772"/>
      <c r="K44" s="772"/>
      <c r="L44" s="772"/>
      <c r="M44" s="772"/>
      <c r="N44" s="772"/>
      <c r="O44" s="773"/>
      <c r="P44" s="1081"/>
      <c r="R44" s="682"/>
    </row>
    <row r="45" spans="2:28" ht="39.75" customHeight="1" x14ac:dyDescent="0.3">
      <c r="B45" s="421"/>
      <c r="C45" s="1669"/>
      <c r="D45" s="1670"/>
      <c r="E45" s="771" t="s">
        <v>2090</v>
      </c>
      <c r="F45" s="772"/>
      <c r="G45" s="772"/>
      <c r="H45" s="772"/>
      <c r="I45" s="772"/>
      <c r="J45" s="772"/>
      <c r="K45" s="772"/>
      <c r="L45" s="772"/>
      <c r="M45" s="772"/>
      <c r="N45" s="772"/>
      <c r="O45" s="773"/>
      <c r="P45" s="1081"/>
    </row>
    <row r="46" spans="2:28" ht="32.25" customHeight="1" x14ac:dyDescent="0.3">
      <c r="B46" s="421"/>
      <c r="C46" s="1669"/>
      <c r="D46" s="1670"/>
      <c r="E46" s="771" t="s">
        <v>2091</v>
      </c>
      <c r="F46" s="772"/>
      <c r="G46" s="772"/>
      <c r="H46" s="772"/>
      <c r="I46" s="772"/>
      <c r="J46" s="772"/>
      <c r="K46" s="772"/>
      <c r="L46" s="772"/>
      <c r="M46" s="772"/>
      <c r="N46" s="772"/>
      <c r="O46" s="773"/>
      <c r="P46" s="1081"/>
    </row>
    <row r="47" spans="2:28" ht="30" customHeight="1" x14ac:dyDescent="0.3">
      <c r="B47" s="431"/>
      <c r="C47" s="1671"/>
      <c r="D47" s="1672"/>
      <c r="E47" s="771" t="s">
        <v>2092</v>
      </c>
      <c r="F47" s="772"/>
      <c r="G47" s="772"/>
      <c r="H47" s="772"/>
      <c r="I47" s="772"/>
      <c r="J47" s="772"/>
      <c r="K47" s="772"/>
      <c r="L47" s="772"/>
      <c r="M47" s="772"/>
      <c r="N47" s="772"/>
      <c r="O47" s="773"/>
      <c r="P47" s="1082"/>
      <c r="Y47" s="7"/>
      <c r="Z47" s="30"/>
      <c r="AA47" s="237"/>
      <c r="AB47" s="7"/>
    </row>
    <row r="48" spans="2:28" ht="21" customHeight="1" x14ac:dyDescent="0.3">
      <c r="B48" s="1625" t="s">
        <v>1582</v>
      </c>
      <c r="C48" s="1667"/>
      <c r="D48" s="1668"/>
      <c r="E48" s="776" t="s">
        <v>1281</v>
      </c>
      <c r="F48" s="776"/>
      <c r="G48" s="776"/>
      <c r="H48" s="776"/>
      <c r="I48" s="776"/>
      <c r="J48" s="776"/>
      <c r="K48" s="776"/>
      <c r="L48" s="776"/>
      <c r="M48" s="776"/>
      <c r="N48" s="776"/>
      <c r="O48" s="776"/>
      <c r="P48" s="992">
        <f>IF(S48=2,0.03,IF(S48=3,0.15,0))</f>
        <v>0</v>
      </c>
      <c r="R48" s="146" t="s">
        <v>2296</v>
      </c>
      <c r="S48" s="556">
        <v>1</v>
      </c>
      <c r="Y48" s="7"/>
      <c r="Z48" s="30"/>
      <c r="AA48" s="237"/>
      <c r="AB48" s="7"/>
    </row>
    <row r="49" spans="2:28" ht="27" customHeight="1" x14ac:dyDescent="0.3">
      <c r="B49" s="1626"/>
      <c r="C49" s="1669"/>
      <c r="D49" s="1670"/>
      <c r="E49" s="771" t="s">
        <v>2093</v>
      </c>
      <c r="F49" s="772"/>
      <c r="G49" s="772"/>
      <c r="H49" s="772"/>
      <c r="I49" s="772"/>
      <c r="J49" s="772"/>
      <c r="K49" s="772"/>
      <c r="L49" s="772"/>
      <c r="M49" s="772"/>
      <c r="N49" s="772"/>
      <c r="O49" s="773"/>
      <c r="P49" s="1081"/>
      <c r="Y49" s="7"/>
      <c r="Z49" s="30"/>
      <c r="AA49" s="237"/>
      <c r="AB49" s="7"/>
    </row>
    <row r="50" spans="2:28" ht="27" customHeight="1" x14ac:dyDescent="0.3">
      <c r="B50" s="1646"/>
      <c r="C50" s="1671"/>
      <c r="D50" s="1672"/>
      <c r="E50" s="764" t="s">
        <v>2094</v>
      </c>
      <c r="F50" s="765"/>
      <c r="G50" s="765"/>
      <c r="H50" s="765"/>
      <c r="I50" s="765"/>
      <c r="J50" s="765"/>
      <c r="K50" s="765"/>
      <c r="L50" s="765"/>
      <c r="M50" s="765"/>
      <c r="N50" s="765"/>
      <c r="O50" s="766"/>
      <c r="P50" s="1082"/>
      <c r="Y50" s="7"/>
      <c r="Z50" s="30"/>
      <c r="AA50" s="237"/>
      <c r="AB50" s="7"/>
    </row>
    <row r="51" spans="2:28" ht="21" customHeight="1" x14ac:dyDescent="0.3">
      <c r="B51" s="1625" t="s">
        <v>1583</v>
      </c>
      <c r="C51" s="1682"/>
      <c r="D51" s="1683"/>
      <c r="E51" s="776" t="s">
        <v>1281</v>
      </c>
      <c r="F51" s="776"/>
      <c r="G51" s="776"/>
      <c r="H51" s="776"/>
      <c r="I51" s="776"/>
      <c r="J51" s="776"/>
      <c r="K51" s="776"/>
      <c r="L51" s="776"/>
      <c r="M51" s="776"/>
      <c r="N51" s="776"/>
      <c r="O51" s="776"/>
      <c r="P51" s="992">
        <f>S53+S54+S55</f>
        <v>0</v>
      </c>
      <c r="R51" s="146" t="s">
        <v>2296</v>
      </c>
      <c r="S51" s="556">
        <v>1</v>
      </c>
      <c r="Y51" s="7"/>
      <c r="Z51" s="30"/>
      <c r="AA51" s="237"/>
      <c r="AB51" s="7"/>
    </row>
    <row r="52" spans="2:28" ht="27" customHeight="1" x14ac:dyDescent="0.3">
      <c r="B52" s="1626"/>
      <c r="C52" s="252"/>
      <c r="D52" s="253"/>
      <c r="E52" s="764" t="s">
        <v>2078</v>
      </c>
      <c r="F52" s="765"/>
      <c r="G52" s="765"/>
      <c r="H52" s="765"/>
      <c r="I52" s="765"/>
      <c r="J52" s="765"/>
      <c r="K52" s="765"/>
      <c r="L52" s="765"/>
      <c r="M52" s="765"/>
      <c r="N52" s="765"/>
      <c r="O52" s="766"/>
      <c r="P52" s="1081"/>
      <c r="R52" s="682"/>
      <c r="Y52" s="7"/>
      <c r="Z52" s="30"/>
      <c r="AA52" s="237"/>
      <c r="AB52" s="7"/>
    </row>
    <row r="53" spans="2:28" ht="21" customHeight="1" x14ac:dyDescent="0.3">
      <c r="B53" s="1626"/>
      <c r="C53" s="252"/>
      <c r="D53" s="253"/>
      <c r="E53" s="1686" t="s">
        <v>1943</v>
      </c>
      <c r="F53" s="1687"/>
      <c r="G53" s="1687"/>
      <c r="H53" s="1687"/>
      <c r="I53" s="1687"/>
      <c r="J53" s="1687"/>
      <c r="K53" s="1687"/>
      <c r="L53" s="1687"/>
      <c r="M53" s="1687"/>
      <c r="N53" s="1687"/>
      <c r="O53" s="1688"/>
      <c r="P53" s="1081"/>
      <c r="R53" s="1681" t="s">
        <v>2298</v>
      </c>
      <c r="S53" s="370">
        <f>IF(S51=2,0.12,IF(S51=3,0.08,IF(S51=4,0.04,0)))</f>
        <v>0</v>
      </c>
      <c r="W53" s="151"/>
      <c r="Y53" s="7"/>
      <c r="Z53" s="30"/>
      <c r="AA53" s="237"/>
      <c r="AB53" s="7"/>
    </row>
    <row r="54" spans="2:28" ht="27" customHeight="1" x14ac:dyDescent="0.3">
      <c r="B54" s="1626"/>
      <c r="C54" s="252"/>
      <c r="D54" s="253"/>
      <c r="E54" s="764" t="s">
        <v>2079</v>
      </c>
      <c r="F54" s="765"/>
      <c r="G54" s="765"/>
      <c r="H54" s="765"/>
      <c r="I54" s="765"/>
      <c r="J54" s="765"/>
      <c r="K54" s="765"/>
      <c r="L54" s="765"/>
      <c r="M54" s="765"/>
      <c r="N54" s="765"/>
      <c r="O54" s="766"/>
      <c r="P54" s="1081"/>
      <c r="R54" s="1681"/>
      <c r="S54" s="370">
        <f>IF(S51=5,0.21,IF(S51=6,0.14,IF(S51=7,0.07,0)))</f>
        <v>0</v>
      </c>
      <c r="Y54" s="7"/>
      <c r="Z54" s="30"/>
      <c r="AA54" s="237"/>
      <c r="AB54" s="7"/>
    </row>
    <row r="55" spans="2:28" ht="21" customHeight="1" x14ac:dyDescent="0.3">
      <c r="B55" s="421"/>
      <c r="C55" s="252"/>
      <c r="D55" s="253"/>
      <c r="E55" s="1686" t="s">
        <v>1943</v>
      </c>
      <c r="F55" s="1687"/>
      <c r="G55" s="1687"/>
      <c r="H55" s="1687"/>
      <c r="I55" s="1687"/>
      <c r="J55" s="1687"/>
      <c r="K55" s="1687"/>
      <c r="L55" s="1687"/>
      <c r="M55" s="1687"/>
      <c r="N55" s="1687"/>
      <c r="O55" s="1688"/>
      <c r="P55" s="1081"/>
      <c r="R55" s="1681"/>
      <c r="S55" s="370">
        <f>IF(S51=8,0.3,IF(S51=9,0.2,IF(S51=10,0.1,0)))</f>
        <v>0</v>
      </c>
      <c r="W55" s="151"/>
      <c r="Y55" s="7"/>
      <c r="Z55" s="30"/>
      <c r="AA55" s="237"/>
      <c r="AB55" s="7"/>
    </row>
    <row r="56" spans="2:28" ht="27" customHeight="1" x14ac:dyDescent="0.3">
      <c r="B56" s="421"/>
      <c r="C56" s="252"/>
      <c r="D56" s="253"/>
      <c r="E56" s="764" t="s">
        <v>2080</v>
      </c>
      <c r="F56" s="765"/>
      <c r="G56" s="765"/>
      <c r="H56" s="765"/>
      <c r="I56" s="765"/>
      <c r="J56" s="765"/>
      <c r="K56" s="765"/>
      <c r="L56" s="765"/>
      <c r="M56" s="765"/>
      <c r="N56" s="765"/>
      <c r="O56" s="766"/>
      <c r="P56" s="1081"/>
      <c r="Y56" s="7"/>
      <c r="Z56" s="30"/>
      <c r="AA56" s="237"/>
      <c r="AB56" s="7"/>
    </row>
    <row r="57" spans="2:28" ht="21" customHeight="1" x14ac:dyDescent="0.3">
      <c r="B57" s="431"/>
      <c r="C57" s="254"/>
      <c r="D57" s="255"/>
      <c r="E57" s="1686" t="s">
        <v>1943</v>
      </c>
      <c r="F57" s="1687"/>
      <c r="G57" s="1687"/>
      <c r="H57" s="1687"/>
      <c r="I57" s="1687"/>
      <c r="J57" s="1687"/>
      <c r="K57" s="1687"/>
      <c r="L57" s="1687"/>
      <c r="M57" s="1687"/>
      <c r="N57" s="1687"/>
      <c r="O57" s="1688"/>
      <c r="P57" s="1082"/>
      <c r="Y57" s="7"/>
      <c r="Z57" s="30"/>
      <c r="AA57" s="237"/>
      <c r="AB57" s="7"/>
    </row>
    <row r="58" spans="2:28" ht="21" customHeight="1" x14ac:dyDescent="0.3">
      <c r="B58" s="1625" t="s">
        <v>564</v>
      </c>
      <c r="C58" s="1667"/>
      <c r="D58" s="1668"/>
      <c r="E58" s="776" t="s">
        <v>1281</v>
      </c>
      <c r="F58" s="776"/>
      <c r="G58" s="776"/>
      <c r="H58" s="776"/>
      <c r="I58" s="776"/>
      <c r="J58" s="776"/>
      <c r="K58" s="776"/>
      <c r="L58" s="776"/>
      <c r="M58" s="776"/>
      <c r="N58" s="776"/>
      <c r="O58" s="776"/>
      <c r="P58" s="992">
        <f>IF(S58=2,0.08,IF(S58=3,0.2,IF(S58=4,0.32,0)))</f>
        <v>0</v>
      </c>
      <c r="R58" s="146" t="s">
        <v>2296</v>
      </c>
      <c r="S58" s="556">
        <v>1</v>
      </c>
      <c r="Y58" s="7"/>
      <c r="Z58" s="30"/>
      <c r="AA58" s="237"/>
      <c r="AB58" s="7"/>
    </row>
    <row r="59" spans="2:28" ht="78" customHeight="1" x14ac:dyDescent="0.3">
      <c r="B59" s="1666"/>
      <c r="C59" s="1669"/>
      <c r="D59" s="1670"/>
      <c r="E59" s="771" t="s">
        <v>2081</v>
      </c>
      <c r="F59" s="772"/>
      <c r="G59" s="772"/>
      <c r="H59" s="772"/>
      <c r="I59" s="772"/>
      <c r="J59" s="772"/>
      <c r="K59" s="772"/>
      <c r="L59" s="772"/>
      <c r="M59" s="772"/>
      <c r="N59" s="772"/>
      <c r="O59" s="773"/>
      <c r="P59" s="1081"/>
      <c r="R59" s="682"/>
      <c r="Y59" s="7"/>
      <c r="Z59" s="30"/>
      <c r="AA59" s="237"/>
      <c r="AB59" s="7"/>
    </row>
    <row r="60" spans="2:28" ht="43.5" customHeight="1" x14ac:dyDescent="0.3">
      <c r="B60" s="421"/>
      <c r="C60" s="1669"/>
      <c r="D60" s="1670"/>
      <c r="E60" s="771" t="s">
        <v>2082</v>
      </c>
      <c r="F60" s="772"/>
      <c r="G60" s="772"/>
      <c r="H60" s="772"/>
      <c r="I60" s="772"/>
      <c r="J60" s="772"/>
      <c r="K60" s="772"/>
      <c r="L60" s="772"/>
      <c r="M60" s="772"/>
      <c r="N60" s="772"/>
      <c r="O60" s="773"/>
      <c r="P60" s="1081"/>
      <c r="Y60" s="7"/>
      <c r="Z60" s="30"/>
    </row>
    <row r="61" spans="2:28" ht="70.5" customHeight="1" x14ac:dyDescent="0.3">
      <c r="B61" s="431"/>
      <c r="C61" s="1671"/>
      <c r="D61" s="1672"/>
      <c r="E61" s="771" t="s">
        <v>2083</v>
      </c>
      <c r="F61" s="772"/>
      <c r="G61" s="772"/>
      <c r="H61" s="772"/>
      <c r="I61" s="772"/>
      <c r="J61" s="772"/>
      <c r="K61" s="772"/>
      <c r="L61" s="772"/>
      <c r="M61" s="772"/>
      <c r="N61" s="772"/>
      <c r="O61" s="773"/>
      <c r="P61" s="1082"/>
    </row>
    <row r="62" spans="2:28" ht="12" customHeight="1" x14ac:dyDescent="0.3">
      <c r="B62" s="348"/>
      <c r="C62" s="41"/>
      <c r="D62" s="41"/>
      <c r="E62" s="39"/>
      <c r="F62" s="39"/>
      <c r="G62" s="39"/>
      <c r="H62" s="39"/>
      <c r="I62" s="39"/>
      <c r="J62" s="39"/>
      <c r="K62" s="39"/>
      <c r="L62" s="39"/>
      <c r="M62" s="39"/>
      <c r="N62" s="39"/>
      <c r="O62" s="39"/>
      <c r="P62" s="220"/>
    </row>
    <row r="63" spans="2:28" ht="12" customHeight="1" x14ac:dyDescent="0.35">
      <c r="B63" s="1685"/>
      <c r="C63" s="1685"/>
      <c r="D63" s="1685"/>
      <c r="E63" s="1685"/>
      <c r="F63" s="1685"/>
      <c r="G63" s="1685"/>
      <c r="H63" s="1685"/>
      <c r="I63" s="1685"/>
      <c r="J63" s="1685"/>
      <c r="K63" s="1685"/>
      <c r="L63" s="1685"/>
      <c r="M63" s="1685"/>
      <c r="N63" s="1685"/>
      <c r="O63" s="1685"/>
      <c r="P63" s="1685"/>
    </row>
    <row r="64" spans="2:28" ht="30" customHeight="1" x14ac:dyDescent="0.3">
      <c r="B64" s="879" t="s">
        <v>1817</v>
      </c>
      <c r="C64" s="880"/>
      <c r="D64" s="880"/>
      <c r="E64" s="880"/>
      <c r="F64" s="880"/>
      <c r="G64" s="880"/>
      <c r="H64" s="880"/>
      <c r="I64" s="880"/>
      <c r="J64" s="880"/>
      <c r="K64" s="880"/>
      <c r="L64" s="880"/>
      <c r="M64" s="880"/>
      <c r="N64" s="881"/>
      <c r="O64" s="19" t="s">
        <v>1524</v>
      </c>
      <c r="P64" s="319" t="s">
        <v>1303</v>
      </c>
      <c r="R64" s="128" t="s">
        <v>2294</v>
      </c>
      <c r="S64" s="146" t="s">
        <v>1303</v>
      </c>
      <c r="T64" s="13" t="s">
        <v>1304</v>
      </c>
      <c r="U64" s="13" t="s">
        <v>1305</v>
      </c>
      <c r="V64" s="13" t="s">
        <v>1306</v>
      </c>
    </row>
    <row r="65" spans="2:22" ht="19.5" customHeight="1" x14ac:dyDescent="0.3">
      <c r="B65" s="806" t="s">
        <v>1136</v>
      </c>
      <c r="C65" s="806"/>
      <c r="D65" s="806"/>
      <c r="E65" s="806"/>
      <c r="F65" s="806"/>
      <c r="G65" s="806"/>
      <c r="H65" s="806"/>
      <c r="I65" s="806"/>
      <c r="J65" s="806"/>
      <c r="K65" s="806"/>
      <c r="L65" s="770">
        <f>P4</f>
        <v>0</v>
      </c>
      <c r="M65" s="770"/>
      <c r="N65" s="770"/>
      <c r="O65" s="211"/>
      <c r="P65" s="248">
        <f>IF(AND(R65&gt;0,R65&lt;0.01),0.01,ROUND(R65,2))</f>
        <v>0</v>
      </c>
      <c r="R65" s="559">
        <f>IF(O65&gt;0,L65*O65,L65)</f>
        <v>0</v>
      </c>
      <c r="S65" s="394">
        <f>P65</f>
        <v>0</v>
      </c>
      <c r="T65" s="370">
        <f>LARGE($S$65:$S$78,1)</f>
        <v>0</v>
      </c>
      <c r="U65" s="408">
        <f>T65+T66*(1-T65)</f>
        <v>0</v>
      </c>
      <c r="V65" s="394">
        <f t="shared" ref="V65:V77" si="0">ROUND(U65,2)</f>
        <v>0</v>
      </c>
    </row>
    <row r="66" spans="2:22" ht="19.5" customHeight="1" x14ac:dyDescent="0.3">
      <c r="B66" s="776" t="s">
        <v>1137</v>
      </c>
      <c r="C66" s="776"/>
      <c r="D66" s="776"/>
      <c r="E66" s="776"/>
      <c r="F66" s="776"/>
      <c r="G66" s="776"/>
      <c r="H66" s="776"/>
      <c r="I66" s="776"/>
      <c r="J66" s="776"/>
      <c r="K66" s="776"/>
      <c r="L66" s="770">
        <f>P8</f>
        <v>0</v>
      </c>
      <c r="M66" s="770"/>
      <c r="N66" s="770"/>
      <c r="O66" s="211"/>
      <c r="P66" s="248">
        <f t="shared" ref="P66:P78" si="1">IF(AND(R66&gt;0,R66&lt;0.01),0.01,ROUND(R66,2))</f>
        <v>0</v>
      </c>
      <c r="R66" s="559">
        <f t="shared" ref="R66:R78" si="2">IF(O66&gt;0,L66*O66,L66)</f>
        <v>0</v>
      </c>
      <c r="S66" s="394">
        <f t="shared" ref="S66:S78" si="3">P66</f>
        <v>0</v>
      </c>
      <c r="T66" s="370">
        <f>LARGE($S$65:$S$78,2)</f>
        <v>0</v>
      </c>
      <c r="U66" s="408">
        <f t="shared" ref="U66:U77" si="4">V65+T67*(1-V65)</f>
        <v>0</v>
      </c>
      <c r="V66" s="394">
        <f t="shared" si="0"/>
        <v>0</v>
      </c>
    </row>
    <row r="67" spans="2:22" ht="19.5" customHeight="1" x14ac:dyDescent="0.3">
      <c r="B67" s="771" t="s">
        <v>1828</v>
      </c>
      <c r="C67" s="772"/>
      <c r="D67" s="772"/>
      <c r="E67" s="772"/>
      <c r="F67" s="772"/>
      <c r="G67" s="772"/>
      <c r="H67" s="772"/>
      <c r="I67" s="772"/>
      <c r="J67" s="772"/>
      <c r="K67" s="773"/>
      <c r="L67" s="770">
        <f>P13</f>
        <v>0</v>
      </c>
      <c r="M67" s="770"/>
      <c r="N67" s="770"/>
      <c r="O67" s="211"/>
      <c r="P67" s="248">
        <f t="shared" si="1"/>
        <v>0</v>
      </c>
      <c r="R67" s="559">
        <f t="shared" si="2"/>
        <v>0</v>
      </c>
      <c r="S67" s="394">
        <f t="shared" si="3"/>
        <v>0</v>
      </c>
      <c r="T67" s="370">
        <f>LARGE($S$65:$S$78,3)</f>
        <v>0</v>
      </c>
      <c r="U67" s="408">
        <f t="shared" si="4"/>
        <v>0</v>
      </c>
      <c r="V67" s="394">
        <f t="shared" si="0"/>
        <v>0</v>
      </c>
    </row>
    <row r="68" spans="2:22" ht="19.5" customHeight="1" x14ac:dyDescent="0.3">
      <c r="B68" s="771" t="s">
        <v>1829</v>
      </c>
      <c r="C68" s="772"/>
      <c r="D68" s="772"/>
      <c r="E68" s="772"/>
      <c r="F68" s="772"/>
      <c r="G68" s="772"/>
      <c r="H68" s="772"/>
      <c r="I68" s="772"/>
      <c r="J68" s="772"/>
      <c r="K68" s="773"/>
      <c r="L68" s="770">
        <f>P18</f>
        <v>0</v>
      </c>
      <c r="M68" s="770"/>
      <c r="N68" s="770"/>
      <c r="O68" s="211"/>
      <c r="P68" s="248">
        <f t="shared" si="1"/>
        <v>0</v>
      </c>
      <c r="R68" s="559">
        <f t="shared" si="2"/>
        <v>0</v>
      </c>
      <c r="S68" s="394">
        <f t="shared" si="3"/>
        <v>0</v>
      </c>
      <c r="T68" s="370">
        <f>LARGE($S$65:$S$78,4)</f>
        <v>0</v>
      </c>
      <c r="U68" s="408">
        <f t="shared" si="4"/>
        <v>0</v>
      </c>
      <c r="V68" s="394">
        <f t="shared" si="0"/>
        <v>0</v>
      </c>
    </row>
    <row r="69" spans="2:22" ht="19.5" customHeight="1" x14ac:dyDescent="0.3">
      <c r="B69" s="771" t="s">
        <v>1830</v>
      </c>
      <c r="C69" s="772"/>
      <c r="D69" s="772"/>
      <c r="E69" s="772"/>
      <c r="F69" s="772"/>
      <c r="G69" s="772"/>
      <c r="H69" s="772"/>
      <c r="I69" s="772"/>
      <c r="J69" s="772"/>
      <c r="K69" s="773"/>
      <c r="L69" s="770">
        <f>P22</f>
        <v>0</v>
      </c>
      <c r="M69" s="770"/>
      <c r="N69" s="770"/>
      <c r="O69" s="211"/>
      <c r="P69" s="248">
        <f t="shared" si="1"/>
        <v>0</v>
      </c>
      <c r="R69" s="559">
        <f t="shared" si="2"/>
        <v>0</v>
      </c>
      <c r="S69" s="394">
        <f t="shared" si="3"/>
        <v>0</v>
      </c>
      <c r="T69" s="370">
        <f>LARGE($S$65:$S$78,5)</f>
        <v>0</v>
      </c>
      <c r="U69" s="408">
        <f t="shared" si="4"/>
        <v>0</v>
      </c>
      <c r="V69" s="394">
        <f t="shared" si="0"/>
        <v>0</v>
      </c>
    </row>
    <row r="70" spans="2:22" ht="19.5" customHeight="1" x14ac:dyDescent="0.3">
      <c r="B70" s="771" t="s">
        <v>622</v>
      </c>
      <c r="C70" s="772"/>
      <c r="D70" s="772"/>
      <c r="E70" s="772"/>
      <c r="F70" s="772"/>
      <c r="G70" s="772"/>
      <c r="H70" s="772"/>
      <c r="I70" s="772"/>
      <c r="J70" s="772"/>
      <c r="K70" s="773"/>
      <c r="L70" s="770">
        <f>P27</f>
        <v>0</v>
      </c>
      <c r="M70" s="770"/>
      <c r="N70" s="770"/>
      <c r="O70" s="229" t="s">
        <v>1941</v>
      </c>
      <c r="P70" s="248">
        <f>L70</f>
        <v>0</v>
      </c>
      <c r="R70" s="559"/>
      <c r="S70" s="394">
        <f t="shared" si="3"/>
        <v>0</v>
      </c>
      <c r="T70" s="370">
        <f>LARGE($S$65:$S$78,6)</f>
        <v>0</v>
      </c>
      <c r="U70" s="408">
        <f t="shared" si="4"/>
        <v>0</v>
      </c>
      <c r="V70" s="394">
        <f t="shared" si="0"/>
        <v>0</v>
      </c>
    </row>
    <row r="71" spans="2:22" ht="19.5" customHeight="1" x14ac:dyDescent="0.3">
      <c r="B71" s="771" t="s">
        <v>1831</v>
      </c>
      <c r="C71" s="772"/>
      <c r="D71" s="772"/>
      <c r="E71" s="772"/>
      <c r="F71" s="772"/>
      <c r="G71" s="772"/>
      <c r="H71" s="772"/>
      <c r="I71" s="772"/>
      <c r="J71" s="772"/>
      <c r="K71" s="773"/>
      <c r="L71" s="770">
        <f>P28</f>
        <v>0</v>
      </c>
      <c r="M71" s="770"/>
      <c r="N71" s="770"/>
      <c r="O71" s="211"/>
      <c r="P71" s="248">
        <f t="shared" si="1"/>
        <v>0</v>
      </c>
      <c r="R71" s="559">
        <f t="shared" si="2"/>
        <v>0</v>
      </c>
      <c r="S71" s="394">
        <f t="shared" si="3"/>
        <v>0</v>
      </c>
      <c r="T71" s="370">
        <f>LARGE($S$65:$S$78,7)</f>
        <v>0</v>
      </c>
      <c r="U71" s="408">
        <f t="shared" si="4"/>
        <v>0</v>
      </c>
      <c r="V71" s="394">
        <f t="shared" si="0"/>
        <v>0</v>
      </c>
    </row>
    <row r="72" spans="2:22" ht="19.5" customHeight="1" x14ac:dyDescent="0.3">
      <c r="B72" s="771" t="s">
        <v>1832</v>
      </c>
      <c r="C72" s="772"/>
      <c r="D72" s="772"/>
      <c r="E72" s="772"/>
      <c r="F72" s="772"/>
      <c r="G72" s="772"/>
      <c r="H72" s="772"/>
      <c r="I72" s="772"/>
      <c r="J72" s="772"/>
      <c r="K72" s="773"/>
      <c r="L72" s="770">
        <f>P33</f>
        <v>0</v>
      </c>
      <c r="M72" s="770"/>
      <c r="N72" s="770"/>
      <c r="O72" s="211"/>
      <c r="P72" s="248">
        <f t="shared" si="1"/>
        <v>0</v>
      </c>
      <c r="R72" s="559">
        <f t="shared" si="2"/>
        <v>0</v>
      </c>
      <c r="S72" s="394">
        <f t="shared" si="3"/>
        <v>0</v>
      </c>
      <c r="T72" s="370">
        <f>LARGE($S$65:$S$78,8)</f>
        <v>0</v>
      </c>
      <c r="U72" s="408">
        <f t="shared" si="4"/>
        <v>0</v>
      </c>
      <c r="V72" s="394">
        <f t="shared" si="0"/>
        <v>0</v>
      </c>
    </row>
    <row r="73" spans="2:22" ht="19.5" customHeight="1" x14ac:dyDescent="0.3">
      <c r="B73" s="771" t="s">
        <v>1948</v>
      </c>
      <c r="C73" s="772"/>
      <c r="D73" s="772"/>
      <c r="E73" s="772"/>
      <c r="F73" s="772"/>
      <c r="G73" s="772"/>
      <c r="H73" s="772"/>
      <c r="I73" s="772"/>
      <c r="J73" s="772"/>
      <c r="K73" s="773"/>
      <c r="L73" s="770">
        <f>P38</f>
        <v>0</v>
      </c>
      <c r="M73" s="770"/>
      <c r="N73" s="770"/>
      <c r="O73" s="316" t="s">
        <v>1941</v>
      </c>
      <c r="P73" s="248">
        <f>L73</f>
        <v>0</v>
      </c>
      <c r="R73" s="559"/>
      <c r="S73" s="394">
        <f t="shared" si="3"/>
        <v>0</v>
      </c>
      <c r="T73" s="370">
        <f>LARGE($S$65:$S$78,9)</f>
        <v>0</v>
      </c>
      <c r="U73" s="408">
        <f t="shared" si="4"/>
        <v>0</v>
      </c>
      <c r="V73" s="394">
        <f t="shared" si="0"/>
        <v>0</v>
      </c>
    </row>
    <row r="74" spans="2:22" ht="19.5" customHeight="1" x14ac:dyDescent="0.3">
      <c r="B74" s="771" t="s">
        <v>1837</v>
      </c>
      <c r="C74" s="772"/>
      <c r="D74" s="772"/>
      <c r="E74" s="772"/>
      <c r="F74" s="772"/>
      <c r="G74" s="772"/>
      <c r="H74" s="772"/>
      <c r="I74" s="772"/>
      <c r="J74" s="772"/>
      <c r="K74" s="773"/>
      <c r="L74" s="770">
        <f>P39</f>
        <v>0</v>
      </c>
      <c r="M74" s="770"/>
      <c r="N74" s="770"/>
      <c r="O74" s="316" t="s">
        <v>1941</v>
      </c>
      <c r="P74" s="248">
        <f>L74</f>
        <v>0</v>
      </c>
      <c r="R74" s="559"/>
      <c r="S74" s="394">
        <f t="shared" si="3"/>
        <v>0</v>
      </c>
      <c r="T74" s="370">
        <f>LARGE($S$65:$S$78,10)</f>
        <v>0</v>
      </c>
      <c r="U74" s="408">
        <f t="shared" si="4"/>
        <v>0</v>
      </c>
      <c r="V74" s="394">
        <f t="shared" si="0"/>
        <v>0</v>
      </c>
    </row>
    <row r="75" spans="2:22" ht="19.5" customHeight="1" x14ac:dyDescent="0.3">
      <c r="B75" s="771" t="s">
        <v>1833</v>
      </c>
      <c r="C75" s="772"/>
      <c r="D75" s="772"/>
      <c r="E75" s="772"/>
      <c r="F75" s="772"/>
      <c r="G75" s="772"/>
      <c r="H75" s="772"/>
      <c r="I75" s="772"/>
      <c r="J75" s="772"/>
      <c r="K75" s="773"/>
      <c r="L75" s="770">
        <f>P43</f>
        <v>0</v>
      </c>
      <c r="M75" s="770"/>
      <c r="N75" s="770"/>
      <c r="O75" s="211"/>
      <c r="P75" s="248">
        <f t="shared" si="1"/>
        <v>0</v>
      </c>
      <c r="R75" s="559">
        <f t="shared" si="2"/>
        <v>0</v>
      </c>
      <c r="S75" s="394">
        <f t="shared" si="3"/>
        <v>0</v>
      </c>
      <c r="T75" s="370">
        <f>LARGE($S$65:$S$78,11)</f>
        <v>0</v>
      </c>
      <c r="U75" s="408">
        <f t="shared" si="4"/>
        <v>0</v>
      </c>
      <c r="V75" s="394">
        <f t="shared" si="0"/>
        <v>0</v>
      </c>
    </row>
    <row r="76" spans="2:22" ht="19.5" customHeight="1" x14ac:dyDescent="0.3">
      <c r="B76" s="771" t="s">
        <v>1834</v>
      </c>
      <c r="C76" s="772"/>
      <c r="D76" s="772"/>
      <c r="E76" s="772"/>
      <c r="F76" s="772"/>
      <c r="G76" s="772"/>
      <c r="H76" s="772"/>
      <c r="I76" s="772"/>
      <c r="J76" s="772"/>
      <c r="K76" s="773"/>
      <c r="L76" s="770">
        <f>P48</f>
        <v>0</v>
      </c>
      <c r="M76" s="770"/>
      <c r="N76" s="770"/>
      <c r="O76" s="211"/>
      <c r="P76" s="248">
        <f t="shared" si="1"/>
        <v>0</v>
      </c>
      <c r="R76" s="559">
        <f t="shared" si="2"/>
        <v>0</v>
      </c>
      <c r="S76" s="394">
        <f t="shared" si="3"/>
        <v>0</v>
      </c>
      <c r="T76" s="370">
        <f>LARGE($S$65:$S$78,12)</f>
        <v>0</v>
      </c>
      <c r="U76" s="408">
        <f t="shared" si="4"/>
        <v>0</v>
      </c>
      <c r="V76" s="394">
        <f t="shared" si="0"/>
        <v>0</v>
      </c>
    </row>
    <row r="77" spans="2:22" ht="19.5" customHeight="1" x14ac:dyDescent="0.3">
      <c r="B77" s="771" t="s">
        <v>1835</v>
      </c>
      <c r="C77" s="772"/>
      <c r="D77" s="772"/>
      <c r="E77" s="772"/>
      <c r="F77" s="772"/>
      <c r="G77" s="772"/>
      <c r="H77" s="772"/>
      <c r="I77" s="772"/>
      <c r="J77" s="772"/>
      <c r="K77" s="773"/>
      <c r="L77" s="770">
        <f>P51</f>
        <v>0</v>
      </c>
      <c r="M77" s="770"/>
      <c r="N77" s="770"/>
      <c r="O77" s="211"/>
      <c r="P77" s="248">
        <f t="shared" si="1"/>
        <v>0</v>
      </c>
      <c r="R77" s="559">
        <f t="shared" si="2"/>
        <v>0</v>
      </c>
      <c r="S77" s="394">
        <f t="shared" si="3"/>
        <v>0</v>
      </c>
      <c r="T77" s="370">
        <f>LARGE($S$65:$S$78,13)</f>
        <v>0</v>
      </c>
      <c r="U77" s="408">
        <f t="shared" si="4"/>
        <v>0</v>
      </c>
      <c r="V77" s="394">
        <f t="shared" si="0"/>
        <v>0</v>
      </c>
    </row>
    <row r="78" spans="2:22" ht="19.5" customHeight="1" x14ac:dyDescent="0.3">
      <c r="B78" s="771" t="s">
        <v>1836</v>
      </c>
      <c r="C78" s="772"/>
      <c r="D78" s="772"/>
      <c r="E78" s="772"/>
      <c r="F78" s="772"/>
      <c r="G78" s="772"/>
      <c r="H78" s="772"/>
      <c r="I78" s="772"/>
      <c r="J78" s="772"/>
      <c r="K78" s="773"/>
      <c r="L78" s="770">
        <f>P58</f>
        <v>0</v>
      </c>
      <c r="M78" s="770"/>
      <c r="N78" s="770"/>
      <c r="O78" s="211"/>
      <c r="P78" s="248">
        <f t="shared" si="1"/>
        <v>0</v>
      </c>
      <c r="R78" s="559">
        <f t="shared" si="2"/>
        <v>0</v>
      </c>
      <c r="S78" s="394">
        <f t="shared" si="3"/>
        <v>0</v>
      </c>
      <c r="T78" s="370">
        <f>LARGE($S$65:$S$78,14)</f>
        <v>0</v>
      </c>
    </row>
    <row r="79" spans="2:22" ht="19.5" customHeight="1" x14ac:dyDescent="0.3">
      <c r="B79" s="1030" t="s">
        <v>1520</v>
      </c>
      <c r="C79" s="1031"/>
      <c r="D79" s="1031"/>
      <c r="E79" s="1031"/>
      <c r="F79" s="1031"/>
      <c r="G79" s="1031"/>
      <c r="H79" s="1031"/>
      <c r="I79" s="1031"/>
      <c r="J79" s="1031"/>
      <c r="K79" s="1031"/>
      <c r="L79" s="1031"/>
      <c r="M79" s="1031"/>
      <c r="N79" s="1031"/>
      <c r="O79" s="1032"/>
      <c r="P79" s="250">
        <f>V77</f>
        <v>0</v>
      </c>
    </row>
    <row r="80" spans="2:22" ht="30.75" customHeight="1" x14ac:dyDescent="0.35">
      <c r="B80" s="1049" t="s">
        <v>947</v>
      </c>
      <c r="C80" s="1049"/>
      <c r="D80" s="1049"/>
      <c r="E80" s="1049"/>
      <c r="F80" s="1049"/>
      <c r="G80" s="1049"/>
      <c r="H80" s="1049"/>
      <c r="I80" s="1049"/>
      <c r="J80" s="1049"/>
      <c r="K80" s="1049"/>
      <c r="L80" s="1049"/>
      <c r="M80" s="1049"/>
      <c r="N80" s="1049"/>
      <c r="O80" s="1049"/>
      <c r="P80" s="1049"/>
    </row>
    <row r="81" spans="2:16" x14ac:dyDescent="0.3">
      <c r="B81" s="594" t="s">
        <v>790</v>
      </c>
      <c r="C81" s="1684" t="str">
        <f>IF(U1&lt;&gt;"",U1,"")</f>
        <v>Go to PPD Worksheet</v>
      </c>
      <c r="D81" s="1684"/>
      <c r="E81" s="1684"/>
      <c r="F81" s="1684"/>
      <c r="G81" s="1684"/>
      <c r="H81" s="1684"/>
      <c r="I81" s="1527" t="str">
        <f>IF(T1&lt;&gt;"",T1,"")</f>
        <v/>
      </c>
      <c r="J81" s="1527"/>
      <c r="K81" s="1527"/>
      <c r="L81" s="1527"/>
      <c r="M81" s="1527"/>
      <c r="N81" s="1527"/>
      <c r="P81" s="15"/>
    </row>
    <row r="84" spans="2:16" hidden="1" x14ac:dyDescent="0.3">
      <c r="B84" s="2">
        <v>0.01</v>
      </c>
      <c r="C84" s="2">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75:O78 O65:O69 O71:O72"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1028700</xdr:colOff>
                <xdr:row>10</xdr:row>
                <xdr:rowOff>800100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57150</xdr:rowOff>
                  </from>
                  <to>
                    <xdr:col>14</xdr:col>
                    <xdr:colOff>800100</xdr:colOff>
                    <xdr:row>57</xdr:row>
                    <xdr:rowOff>57150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95250</xdr:rowOff>
                  </from>
                  <to>
                    <xdr:col>4</xdr:col>
                    <xdr:colOff>31750</xdr:colOff>
                    <xdr:row>51</xdr:row>
                    <xdr:rowOff>50800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election activeCell="M1" sqref="M1:P1"/>
    </sheetView>
  </sheetViews>
  <sheetFormatPr defaultColWidth="2.26953125" defaultRowHeight="13" x14ac:dyDescent="0.3"/>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3">
      <c r="B2" s="792"/>
      <c r="C2" s="792"/>
      <c r="D2" s="792"/>
      <c r="E2" s="792"/>
      <c r="F2" s="792"/>
      <c r="G2" s="792"/>
      <c r="H2" s="792"/>
      <c r="I2" s="792"/>
      <c r="J2" s="792"/>
      <c r="K2" s="792"/>
      <c r="L2" s="792"/>
      <c r="M2" s="792"/>
      <c r="N2" s="792"/>
      <c r="O2" s="792"/>
      <c r="P2" s="792"/>
    </row>
    <row r="3" spans="2:170" ht="24" customHeight="1" x14ac:dyDescent="0.4">
      <c r="B3" s="920" t="s">
        <v>1927</v>
      </c>
      <c r="C3" s="920"/>
      <c r="D3" s="920"/>
      <c r="E3" s="920"/>
      <c r="F3" s="920"/>
      <c r="G3" s="920"/>
      <c r="H3" s="920"/>
      <c r="I3" s="920"/>
      <c r="J3" s="920"/>
      <c r="K3" s="920"/>
      <c r="L3" s="920"/>
      <c r="M3" s="920"/>
      <c r="N3" s="920"/>
      <c r="O3" s="920"/>
      <c r="P3" s="920"/>
    </row>
    <row r="4" spans="2:170" ht="21" customHeight="1" x14ac:dyDescent="0.3">
      <c r="B4" s="1625" t="s">
        <v>1584</v>
      </c>
      <c r="C4" s="1675"/>
      <c r="D4" s="1676"/>
      <c r="E4" s="776" t="s">
        <v>1281</v>
      </c>
      <c r="F4" s="776"/>
      <c r="G4" s="776"/>
      <c r="H4" s="776"/>
      <c r="I4" s="776"/>
      <c r="J4" s="776"/>
      <c r="K4" s="776"/>
      <c r="L4" s="776"/>
      <c r="M4" s="776"/>
      <c r="N4" s="776"/>
      <c r="O4" s="776"/>
      <c r="P4" s="992">
        <f>IF(S4=2,0.05,IF(S4=3,0.18,IF(S4=4,0.38,0)))</f>
        <v>0</v>
      </c>
      <c r="R4" s="146" t="s">
        <v>2296</v>
      </c>
      <c r="S4" s="556">
        <v>1</v>
      </c>
    </row>
    <row r="5" spans="2:170" ht="27" customHeight="1" x14ac:dyDescent="0.3">
      <c r="B5" s="1626"/>
      <c r="C5" s="1677"/>
      <c r="D5" s="1678"/>
      <c r="E5" s="771" t="s">
        <v>2095</v>
      </c>
      <c r="F5" s="772"/>
      <c r="G5" s="772"/>
      <c r="H5" s="772"/>
      <c r="I5" s="772"/>
      <c r="J5" s="772"/>
      <c r="K5" s="772"/>
      <c r="L5" s="772"/>
      <c r="M5" s="772"/>
      <c r="N5" s="772"/>
      <c r="O5" s="773"/>
      <c r="P5" s="1081"/>
    </row>
    <row r="6" spans="2:170" ht="27" customHeight="1" x14ac:dyDescent="0.3">
      <c r="B6" s="1626"/>
      <c r="C6" s="1677"/>
      <c r="D6" s="1678"/>
      <c r="E6" s="771" t="s">
        <v>2096</v>
      </c>
      <c r="F6" s="772"/>
      <c r="G6" s="772"/>
      <c r="H6" s="772"/>
      <c r="I6" s="772"/>
      <c r="J6" s="772"/>
      <c r="K6" s="772"/>
      <c r="L6" s="772"/>
      <c r="M6" s="772"/>
      <c r="N6" s="772"/>
      <c r="O6" s="773"/>
      <c r="P6" s="1081"/>
    </row>
    <row r="7" spans="2:170" ht="27" customHeight="1" x14ac:dyDescent="0.3">
      <c r="B7" s="1646"/>
      <c r="C7" s="1677"/>
      <c r="D7" s="1678"/>
      <c r="E7" s="771" t="s">
        <v>2097</v>
      </c>
      <c r="F7" s="772"/>
      <c r="G7" s="772"/>
      <c r="H7" s="772"/>
      <c r="I7" s="772"/>
      <c r="J7" s="772"/>
      <c r="K7" s="772"/>
      <c r="L7" s="772"/>
      <c r="M7" s="772"/>
      <c r="N7" s="772"/>
      <c r="O7" s="773"/>
      <c r="P7" s="1082"/>
    </row>
    <row r="8" spans="2:170" ht="21" customHeight="1" x14ac:dyDescent="0.3">
      <c r="B8" s="1691" t="s">
        <v>2210</v>
      </c>
      <c r="C8" s="1667"/>
      <c r="D8" s="1668"/>
      <c r="E8" s="776" t="s">
        <v>1281</v>
      </c>
      <c r="F8" s="776"/>
      <c r="G8" s="776"/>
      <c r="H8" s="776"/>
      <c r="I8" s="776"/>
      <c r="J8" s="776"/>
      <c r="K8" s="776"/>
      <c r="L8" s="776"/>
      <c r="M8" s="776"/>
      <c r="N8" s="776"/>
      <c r="O8" s="776"/>
      <c r="P8" s="992">
        <f>IF(S8=2,0.05,IF(S8=3,0.18,0))</f>
        <v>0</v>
      </c>
      <c r="R8" s="146" t="s">
        <v>2296</v>
      </c>
      <c r="S8" s="556">
        <v>1</v>
      </c>
    </row>
    <row r="9" spans="2:170" ht="66.75" customHeight="1" x14ac:dyDescent="0.3">
      <c r="B9" s="1692"/>
      <c r="C9" s="1669"/>
      <c r="D9" s="1670"/>
      <c r="E9" s="776" t="s">
        <v>2098</v>
      </c>
      <c r="F9" s="776"/>
      <c r="G9" s="776"/>
      <c r="H9" s="776"/>
      <c r="I9" s="776"/>
      <c r="J9" s="776"/>
      <c r="K9" s="776"/>
      <c r="L9" s="776"/>
      <c r="M9" s="776"/>
      <c r="N9" s="776"/>
      <c r="O9" s="776"/>
      <c r="P9" s="1081"/>
    </row>
    <row r="10" spans="2:170" ht="81" customHeight="1" x14ac:dyDescent="0.3">
      <c r="B10" s="444"/>
      <c r="C10" s="1669"/>
      <c r="D10" s="1670"/>
      <c r="E10" s="776" t="s">
        <v>2099</v>
      </c>
      <c r="F10" s="776"/>
      <c r="G10" s="776"/>
      <c r="H10" s="776"/>
      <c r="I10" s="776"/>
      <c r="J10" s="776"/>
      <c r="K10" s="776"/>
      <c r="L10" s="776"/>
      <c r="M10" s="776"/>
      <c r="N10" s="776"/>
      <c r="O10" s="776"/>
      <c r="P10" s="1081"/>
    </row>
    <row r="11" spans="2:170" ht="21" customHeight="1" x14ac:dyDescent="0.3">
      <c r="B11" s="1625" t="s">
        <v>2</v>
      </c>
      <c r="C11" s="1667"/>
      <c r="D11" s="1668"/>
      <c r="E11" s="776" t="s">
        <v>1281</v>
      </c>
      <c r="F11" s="776"/>
      <c r="G11" s="776"/>
      <c r="H11" s="776"/>
      <c r="I11" s="776"/>
      <c r="J11" s="776"/>
      <c r="K11" s="776"/>
      <c r="L11" s="776"/>
      <c r="M11" s="776"/>
      <c r="N11" s="776"/>
      <c r="O11" s="776"/>
      <c r="P11" s="992">
        <f>IF(S11=2,0.05,IF(S11=3,0.18,IF(S11=4,0.78,0)))</f>
        <v>0</v>
      </c>
      <c r="R11" s="146" t="s">
        <v>2296</v>
      </c>
      <c r="S11" s="556">
        <v>1</v>
      </c>
    </row>
    <row r="12" spans="2:170" ht="28.5" customHeight="1" x14ac:dyDescent="0.3">
      <c r="B12" s="1626"/>
      <c r="C12" s="1669"/>
      <c r="D12" s="1670"/>
      <c r="E12" s="771" t="s">
        <v>2100</v>
      </c>
      <c r="F12" s="772"/>
      <c r="G12" s="772"/>
      <c r="H12" s="772"/>
      <c r="I12" s="772"/>
      <c r="J12" s="772"/>
      <c r="K12" s="772"/>
      <c r="L12" s="772"/>
      <c r="M12" s="772"/>
      <c r="N12" s="772"/>
      <c r="O12" s="773"/>
      <c r="P12" s="1081"/>
    </row>
    <row r="13" spans="2:170" ht="27" customHeight="1" x14ac:dyDescent="0.3">
      <c r="B13" s="1626"/>
      <c r="C13" s="1669"/>
      <c r="D13" s="1670"/>
      <c r="E13" s="771" t="s">
        <v>2101</v>
      </c>
      <c r="F13" s="772"/>
      <c r="G13" s="772"/>
      <c r="H13" s="772"/>
      <c r="I13" s="772"/>
      <c r="J13" s="772"/>
      <c r="K13" s="772"/>
      <c r="L13" s="772"/>
      <c r="M13" s="772"/>
      <c r="N13" s="772"/>
      <c r="O13" s="773"/>
      <c r="P13" s="1081"/>
    </row>
    <row r="14" spans="2:170" ht="27" customHeight="1" x14ac:dyDescent="0.3">
      <c r="B14" s="1646"/>
      <c r="C14" s="1669"/>
      <c r="D14" s="1670"/>
      <c r="E14" s="771" t="s">
        <v>2102</v>
      </c>
      <c r="F14" s="772"/>
      <c r="G14" s="772"/>
      <c r="H14" s="772"/>
      <c r="I14" s="772"/>
      <c r="J14" s="772"/>
      <c r="K14" s="772"/>
      <c r="L14" s="772"/>
      <c r="M14" s="772"/>
      <c r="N14" s="772"/>
      <c r="O14" s="773"/>
      <c r="P14" s="1082"/>
    </row>
    <row r="15" spans="2:170" ht="21" customHeight="1" x14ac:dyDescent="0.3">
      <c r="B15" s="1625" t="s">
        <v>1585</v>
      </c>
      <c r="C15" s="1669"/>
      <c r="D15" s="1670"/>
      <c r="E15" s="771" t="s">
        <v>1281</v>
      </c>
      <c r="F15" s="772"/>
      <c r="G15" s="772"/>
      <c r="H15" s="772"/>
      <c r="I15" s="772"/>
      <c r="J15" s="772"/>
      <c r="K15" s="772"/>
      <c r="L15" s="772"/>
      <c r="M15" s="772"/>
      <c r="N15" s="772"/>
      <c r="O15" s="773"/>
      <c r="P15" s="1081">
        <f>IF(S15=2,0.03,IF(S15=3,0.15,0))</f>
        <v>0</v>
      </c>
      <c r="R15" s="146" t="s">
        <v>2296</v>
      </c>
      <c r="S15" s="556">
        <v>1</v>
      </c>
    </row>
    <row r="16" spans="2:170" ht="21" customHeight="1" x14ac:dyDescent="0.3">
      <c r="B16" s="1626"/>
      <c r="C16" s="1669"/>
      <c r="D16" s="1670"/>
      <c r="E16" s="776" t="s">
        <v>2104</v>
      </c>
      <c r="F16" s="776"/>
      <c r="G16" s="776"/>
      <c r="H16" s="776"/>
      <c r="I16" s="776"/>
      <c r="J16" s="776"/>
      <c r="K16" s="776"/>
      <c r="L16" s="776"/>
      <c r="M16" s="776"/>
      <c r="N16" s="776"/>
      <c r="O16" s="776"/>
      <c r="P16" s="1081"/>
    </row>
    <row r="17" spans="2:19" ht="27" customHeight="1" x14ac:dyDescent="0.3">
      <c r="B17" s="1626"/>
      <c r="C17" s="1669"/>
      <c r="D17" s="1670"/>
      <c r="E17" s="771" t="s">
        <v>2103</v>
      </c>
      <c r="F17" s="772"/>
      <c r="G17" s="772"/>
      <c r="H17" s="772"/>
      <c r="I17" s="772"/>
      <c r="J17" s="772"/>
      <c r="K17" s="772"/>
      <c r="L17" s="772"/>
      <c r="M17" s="772"/>
      <c r="N17" s="772"/>
      <c r="O17" s="773"/>
      <c r="P17" s="1081"/>
    </row>
    <row r="18" spans="2:19" ht="21" customHeight="1" x14ac:dyDescent="0.3">
      <c r="B18" s="1625" t="s">
        <v>3</v>
      </c>
      <c r="C18" s="1667"/>
      <c r="D18" s="1668"/>
      <c r="E18" s="776" t="s">
        <v>1281</v>
      </c>
      <c r="F18" s="776"/>
      <c r="G18" s="776"/>
      <c r="H18" s="776"/>
      <c r="I18" s="776"/>
      <c r="J18" s="776"/>
      <c r="K18" s="776"/>
      <c r="L18" s="776"/>
      <c r="M18" s="776"/>
      <c r="N18" s="776"/>
      <c r="O18" s="776"/>
      <c r="P18" s="992">
        <f>IF(S18=2,0.05,IF(S18=3,0.33,IF(S18=4,0.78,0)))</f>
        <v>0</v>
      </c>
      <c r="R18" s="146" t="s">
        <v>2296</v>
      </c>
      <c r="S18" s="556">
        <v>1</v>
      </c>
    </row>
    <row r="19" spans="2:19" ht="26.25" customHeight="1" x14ac:dyDescent="0.3">
      <c r="B19" s="1626"/>
      <c r="C19" s="1669"/>
      <c r="D19" s="1670"/>
      <c r="E19" s="771" t="s">
        <v>2100</v>
      </c>
      <c r="F19" s="772"/>
      <c r="G19" s="772"/>
      <c r="H19" s="772"/>
      <c r="I19" s="772"/>
      <c r="J19" s="772"/>
      <c r="K19" s="772"/>
      <c r="L19" s="772"/>
      <c r="M19" s="772"/>
      <c r="N19" s="772"/>
      <c r="O19" s="773"/>
      <c r="P19" s="1081"/>
    </row>
    <row r="20" spans="2:19" ht="27" customHeight="1" x14ac:dyDescent="0.3">
      <c r="B20" s="1626"/>
      <c r="C20" s="1669"/>
      <c r="D20" s="1670"/>
      <c r="E20" s="771" t="s">
        <v>2105</v>
      </c>
      <c r="F20" s="772"/>
      <c r="G20" s="772"/>
      <c r="H20" s="772"/>
      <c r="I20" s="772"/>
      <c r="J20" s="772"/>
      <c r="K20" s="772"/>
      <c r="L20" s="772"/>
      <c r="M20" s="772"/>
      <c r="N20" s="772"/>
      <c r="O20" s="773"/>
      <c r="P20" s="1081"/>
    </row>
    <row r="21" spans="2:19" ht="27" customHeight="1" x14ac:dyDescent="0.3">
      <c r="B21" s="1626"/>
      <c r="C21" s="1669"/>
      <c r="D21" s="1670"/>
      <c r="E21" s="771" t="s">
        <v>2106</v>
      </c>
      <c r="F21" s="772"/>
      <c r="G21" s="772"/>
      <c r="H21" s="772"/>
      <c r="I21" s="772"/>
      <c r="J21" s="772"/>
      <c r="K21" s="772"/>
      <c r="L21" s="772"/>
      <c r="M21" s="772"/>
      <c r="N21" s="772"/>
      <c r="O21" s="773"/>
      <c r="P21" s="1081"/>
    </row>
    <row r="22" spans="2:19" ht="21" customHeight="1" x14ac:dyDescent="0.3">
      <c r="B22" s="1625" t="s">
        <v>4</v>
      </c>
      <c r="C22" s="1667"/>
      <c r="D22" s="1668"/>
      <c r="E22" s="776" t="s">
        <v>1281</v>
      </c>
      <c r="F22" s="776"/>
      <c r="G22" s="776"/>
      <c r="H22" s="776"/>
      <c r="I22" s="776"/>
      <c r="J22" s="776"/>
      <c r="K22" s="776"/>
      <c r="L22" s="776"/>
      <c r="M22" s="776"/>
      <c r="N22" s="776"/>
      <c r="O22" s="776"/>
      <c r="P22" s="992">
        <f>IF(S22=2,0.05,IF(S22=3,0.33,IF(S22=4,0.78,0)))</f>
        <v>0</v>
      </c>
      <c r="R22" s="146" t="s">
        <v>2296</v>
      </c>
      <c r="S22" s="556">
        <v>1</v>
      </c>
    </row>
    <row r="23" spans="2:19" ht="27" customHeight="1" x14ac:dyDescent="0.3">
      <c r="B23" s="1626"/>
      <c r="C23" s="1669"/>
      <c r="D23" s="1670"/>
      <c r="E23" s="771" t="s">
        <v>2107</v>
      </c>
      <c r="F23" s="772"/>
      <c r="G23" s="772"/>
      <c r="H23" s="772"/>
      <c r="I23" s="772"/>
      <c r="J23" s="772"/>
      <c r="K23" s="772"/>
      <c r="L23" s="772"/>
      <c r="M23" s="772"/>
      <c r="N23" s="772"/>
      <c r="O23" s="773"/>
      <c r="P23" s="1081"/>
    </row>
    <row r="24" spans="2:19" ht="27" customHeight="1" x14ac:dyDescent="0.3">
      <c r="B24" s="1626"/>
      <c r="C24" s="1669"/>
      <c r="D24" s="1670"/>
      <c r="E24" s="771" t="s">
        <v>2108</v>
      </c>
      <c r="F24" s="772"/>
      <c r="G24" s="772"/>
      <c r="H24" s="772"/>
      <c r="I24" s="772"/>
      <c r="J24" s="772"/>
      <c r="K24" s="772"/>
      <c r="L24" s="772"/>
      <c r="M24" s="772"/>
      <c r="N24" s="772"/>
      <c r="O24" s="773"/>
      <c r="P24" s="1081"/>
    </row>
    <row r="25" spans="2:19" ht="26.25" customHeight="1" x14ac:dyDescent="0.3">
      <c r="B25" s="1646"/>
      <c r="C25" s="1671"/>
      <c r="D25" s="1672"/>
      <c r="E25" s="771" t="s">
        <v>2109</v>
      </c>
      <c r="F25" s="772"/>
      <c r="G25" s="772"/>
      <c r="H25" s="772"/>
      <c r="I25" s="772"/>
      <c r="J25" s="772"/>
      <c r="K25" s="772"/>
      <c r="L25" s="772"/>
      <c r="M25" s="772"/>
      <c r="N25" s="772"/>
      <c r="O25" s="773"/>
      <c r="P25" s="1082"/>
    </row>
    <row r="26" spans="2:19" ht="21" customHeight="1" x14ac:dyDescent="0.3">
      <c r="B26" s="1625" t="s">
        <v>1586</v>
      </c>
      <c r="C26" s="1667"/>
      <c r="D26" s="1668"/>
      <c r="E26" s="776" t="s">
        <v>1281</v>
      </c>
      <c r="F26" s="776"/>
      <c r="G26" s="776"/>
      <c r="H26" s="776"/>
      <c r="I26" s="776"/>
      <c r="J26" s="776"/>
      <c r="K26" s="776"/>
      <c r="L26" s="776"/>
      <c r="M26" s="776"/>
      <c r="N26" s="776"/>
      <c r="O26" s="776"/>
      <c r="P26" s="992">
        <f>IF(S26=2,0.05,IF(S26=3,0.33,IF(S26=4,0.78,0)))</f>
        <v>0</v>
      </c>
      <c r="R26" s="146" t="s">
        <v>2296</v>
      </c>
      <c r="S26" s="556">
        <v>1</v>
      </c>
    </row>
    <row r="27" spans="2:19" ht="27" customHeight="1" x14ac:dyDescent="0.3">
      <c r="B27" s="1626"/>
      <c r="C27" s="1669"/>
      <c r="D27" s="1670"/>
      <c r="E27" s="771" t="s">
        <v>2110</v>
      </c>
      <c r="F27" s="772"/>
      <c r="G27" s="772"/>
      <c r="H27" s="772"/>
      <c r="I27" s="772"/>
      <c r="J27" s="772"/>
      <c r="K27" s="772"/>
      <c r="L27" s="772"/>
      <c r="M27" s="772"/>
      <c r="N27" s="772"/>
      <c r="O27" s="773"/>
      <c r="P27" s="1081"/>
    </row>
    <row r="28" spans="2:19" ht="40.5" customHeight="1" x14ac:dyDescent="0.3">
      <c r="B28" s="1626"/>
      <c r="C28" s="1669"/>
      <c r="D28" s="1670"/>
      <c r="E28" s="771" t="s">
        <v>2111</v>
      </c>
      <c r="F28" s="772"/>
      <c r="G28" s="772"/>
      <c r="H28" s="772"/>
      <c r="I28" s="772"/>
      <c r="J28" s="772"/>
      <c r="K28" s="772"/>
      <c r="L28" s="772"/>
      <c r="M28" s="772"/>
      <c r="N28" s="772"/>
      <c r="O28" s="773"/>
      <c r="P28" s="1081"/>
    </row>
    <row r="29" spans="2:19" ht="39.75" customHeight="1" x14ac:dyDescent="0.3">
      <c r="B29" s="1626"/>
      <c r="C29" s="1669"/>
      <c r="D29" s="1670"/>
      <c r="E29" s="771" t="s">
        <v>2112</v>
      </c>
      <c r="F29" s="772"/>
      <c r="G29" s="772"/>
      <c r="H29" s="772"/>
      <c r="I29" s="772"/>
      <c r="J29" s="772"/>
      <c r="K29" s="772"/>
      <c r="L29" s="772"/>
      <c r="M29" s="772"/>
      <c r="N29" s="772"/>
      <c r="O29" s="773"/>
      <c r="P29" s="1081"/>
    </row>
    <row r="30" spans="2:19" ht="21" customHeight="1" x14ac:dyDescent="0.3">
      <c r="B30" s="1689" t="s">
        <v>2209</v>
      </c>
      <c r="C30" s="1667"/>
      <c r="D30" s="1668"/>
      <c r="E30" s="771" t="s">
        <v>1281</v>
      </c>
      <c r="F30" s="772"/>
      <c r="G30" s="772"/>
      <c r="H30" s="772"/>
      <c r="I30" s="772"/>
      <c r="J30" s="772"/>
      <c r="K30" s="772"/>
      <c r="L30" s="772"/>
      <c r="M30" s="772"/>
      <c r="N30" s="772"/>
      <c r="O30" s="773"/>
      <c r="P30" s="992">
        <f>IF(S30=2,0.03,IF(S30=3,0.08,IF(S30=4,0.18,IF(S30=5,0.33,0))))</f>
        <v>0</v>
      </c>
      <c r="R30" s="146" t="s">
        <v>2296</v>
      </c>
      <c r="S30" s="556">
        <v>1</v>
      </c>
    </row>
    <row r="31" spans="2:19" ht="52.5" customHeight="1" x14ac:dyDescent="0.3">
      <c r="B31" s="1690"/>
      <c r="C31" s="1669"/>
      <c r="D31" s="1670"/>
      <c r="E31" s="776" t="s">
        <v>2113</v>
      </c>
      <c r="F31" s="776"/>
      <c r="G31" s="776"/>
      <c r="H31" s="776"/>
      <c r="I31" s="776"/>
      <c r="J31" s="776"/>
      <c r="K31" s="776"/>
      <c r="L31" s="776"/>
      <c r="M31" s="776"/>
      <c r="N31" s="776"/>
      <c r="O31" s="776"/>
      <c r="P31" s="1081"/>
    </row>
    <row r="32" spans="2:19" ht="70.5" customHeight="1" x14ac:dyDescent="0.3">
      <c r="B32" s="1690"/>
      <c r="C32" s="1669"/>
      <c r="D32" s="1670"/>
      <c r="E32" s="771" t="s">
        <v>2114</v>
      </c>
      <c r="F32" s="772"/>
      <c r="G32" s="772"/>
      <c r="H32" s="772"/>
      <c r="I32" s="772"/>
      <c r="J32" s="772"/>
      <c r="K32" s="772"/>
      <c r="L32" s="772"/>
      <c r="M32" s="772"/>
      <c r="N32" s="772"/>
      <c r="O32" s="773"/>
      <c r="P32" s="1081"/>
    </row>
    <row r="33" spans="1:23" ht="34.5" customHeight="1" x14ac:dyDescent="0.3">
      <c r="B33" s="421"/>
      <c r="C33" s="1669"/>
      <c r="D33" s="1670"/>
      <c r="E33" s="771" t="s">
        <v>2115</v>
      </c>
      <c r="F33" s="772"/>
      <c r="G33" s="772"/>
      <c r="H33" s="772"/>
      <c r="I33" s="772"/>
      <c r="J33" s="772"/>
      <c r="K33" s="772"/>
      <c r="L33" s="772"/>
      <c r="M33" s="772"/>
      <c r="N33" s="772"/>
      <c r="O33" s="773"/>
      <c r="P33" s="1081"/>
    </row>
    <row r="34" spans="1:23" ht="55.5" customHeight="1" x14ac:dyDescent="0.3">
      <c r="B34" s="431"/>
      <c r="C34" s="1671"/>
      <c r="D34" s="1672"/>
      <c r="E34" s="771" t="s">
        <v>2116</v>
      </c>
      <c r="F34" s="772"/>
      <c r="G34" s="772"/>
      <c r="H34" s="772"/>
      <c r="I34" s="772"/>
      <c r="J34" s="772"/>
      <c r="K34" s="772"/>
      <c r="L34" s="772"/>
      <c r="M34" s="772"/>
      <c r="N34" s="772"/>
      <c r="O34" s="773"/>
      <c r="P34" s="1082"/>
    </row>
    <row r="35" spans="1:23" ht="21" customHeight="1" x14ac:dyDescent="0.3">
      <c r="B35" s="1625" t="s">
        <v>941</v>
      </c>
      <c r="C35" s="1667"/>
      <c r="D35" s="1668"/>
      <c r="E35" s="776" t="s">
        <v>1281</v>
      </c>
      <c r="F35" s="776"/>
      <c r="G35" s="776"/>
      <c r="H35" s="776"/>
      <c r="I35" s="776"/>
      <c r="J35" s="776"/>
      <c r="K35" s="776"/>
      <c r="L35" s="776"/>
      <c r="M35" s="776"/>
      <c r="N35" s="776"/>
      <c r="O35" s="776"/>
      <c r="P35" s="992">
        <f>IF(S35=3,0.28,0)</f>
        <v>0</v>
      </c>
      <c r="R35" s="146" t="s">
        <v>2296</v>
      </c>
      <c r="S35" s="556">
        <v>1</v>
      </c>
    </row>
    <row r="36" spans="1:23" ht="39" customHeight="1" x14ac:dyDescent="0.3">
      <c r="B36" s="1666"/>
      <c r="C36" s="1669"/>
      <c r="D36" s="1670"/>
      <c r="E36" s="771" t="s">
        <v>2117</v>
      </c>
      <c r="F36" s="772"/>
      <c r="G36" s="772"/>
      <c r="H36" s="772"/>
      <c r="I36" s="772"/>
      <c r="J36" s="772"/>
      <c r="K36" s="772"/>
      <c r="L36" s="772"/>
      <c r="M36" s="772"/>
      <c r="N36" s="772"/>
      <c r="O36" s="773"/>
      <c r="P36" s="1081"/>
    </row>
    <row r="37" spans="1:23" ht="43.5" customHeight="1" x14ac:dyDescent="0.3">
      <c r="B37" s="421"/>
      <c r="C37" s="1669"/>
      <c r="D37" s="1670"/>
      <c r="E37" s="771" t="s">
        <v>2118</v>
      </c>
      <c r="F37" s="772"/>
      <c r="G37" s="772"/>
      <c r="H37" s="772"/>
      <c r="I37" s="772"/>
      <c r="J37" s="772"/>
      <c r="K37" s="772"/>
      <c r="L37" s="772"/>
      <c r="M37" s="772"/>
      <c r="N37" s="772"/>
      <c r="O37" s="773"/>
      <c r="P37" s="1081"/>
    </row>
    <row r="38" spans="1:23" ht="21" customHeight="1" x14ac:dyDescent="0.3">
      <c r="B38" s="1625" t="s">
        <v>1587</v>
      </c>
      <c r="C38" s="1667"/>
      <c r="D38" s="1668"/>
      <c r="E38" s="776" t="s">
        <v>1281</v>
      </c>
      <c r="F38" s="776"/>
      <c r="G38" s="776"/>
      <c r="H38" s="776"/>
      <c r="I38" s="776"/>
      <c r="J38" s="776"/>
      <c r="K38" s="776"/>
      <c r="L38" s="776"/>
      <c r="M38" s="776"/>
      <c r="N38" s="776"/>
      <c r="O38" s="776"/>
      <c r="P38" s="992">
        <f>IF(S38=2,0.03,IF(S38=3,0.05,0))</f>
        <v>0</v>
      </c>
      <c r="R38" s="146" t="s">
        <v>2296</v>
      </c>
      <c r="S38" s="556">
        <v>1</v>
      </c>
    </row>
    <row r="39" spans="1:23" ht="27" customHeight="1" x14ac:dyDescent="0.3">
      <c r="B39" s="1666"/>
      <c r="C39" s="1669"/>
      <c r="D39" s="1670"/>
      <c r="E39" s="771" t="s">
        <v>2119</v>
      </c>
      <c r="F39" s="772"/>
      <c r="G39" s="772"/>
      <c r="H39" s="772"/>
      <c r="I39" s="772"/>
      <c r="J39" s="772"/>
      <c r="K39" s="772"/>
      <c r="L39" s="772"/>
      <c r="M39" s="772"/>
      <c r="N39" s="772"/>
      <c r="O39" s="773"/>
      <c r="P39" s="1081"/>
    </row>
    <row r="40" spans="1:23" ht="27" customHeight="1" x14ac:dyDescent="0.3">
      <c r="B40" s="431"/>
      <c r="C40" s="1671"/>
      <c r="D40" s="1672"/>
      <c r="E40" s="771" t="s">
        <v>2120</v>
      </c>
      <c r="F40" s="772"/>
      <c r="G40" s="772"/>
      <c r="H40" s="772"/>
      <c r="I40" s="772"/>
      <c r="J40" s="772"/>
      <c r="K40" s="772"/>
      <c r="L40" s="772"/>
      <c r="M40" s="772"/>
      <c r="N40" s="772"/>
      <c r="O40" s="773"/>
      <c r="P40" s="1082"/>
    </row>
    <row r="41" spans="1:23" ht="18" customHeight="1" x14ac:dyDescent="0.3">
      <c r="A41" s="792"/>
      <c r="B41" s="792"/>
      <c r="C41" s="792"/>
      <c r="D41" s="792"/>
      <c r="E41" s="792"/>
      <c r="F41" s="792"/>
      <c r="G41" s="792"/>
      <c r="H41" s="792"/>
      <c r="I41" s="792"/>
      <c r="J41" s="792"/>
      <c r="K41" s="792"/>
      <c r="L41" s="792"/>
      <c r="M41" s="792"/>
      <c r="N41" s="792"/>
      <c r="O41" s="792"/>
      <c r="P41" s="792"/>
      <c r="T41" s="7"/>
      <c r="U41" s="151"/>
    </row>
    <row r="42" spans="1:23" ht="27" customHeight="1" x14ac:dyDescent="0.3">
      <c r="B42" s="879" t="s">
        <v>1817</v>
      </c>
      <c r="C42" s="880"/>
      <c r="D42" s="880"/>
      <c r="E42" s="880"/>
      <c r="F42" s="880"/>
      <c r="G42" s="880"/>
      <c r="H42" s="880"/>
      <c r="I42" s="880"/>
      <c r="J42" s="880"/>
      <c r="K42" s="880"/>
      <c r="L42" s="880"/>
      <c r="M42" s="880"/>
      <c r="N42" s="881"/>
      <c r="O42" s="271" t="s">
        <v>1524</v>
      </c>
      <c r="P42" s="319" t="s">
        <v>1303</v>
      </c>
      <c r="R42" s="128" t="s">
        <v>2294</v>
      </c>
      <c r="T42" s="146" t="s">
        <v>1303</v>
      </c>
      <c r="U42" s="13" t="s">
        <v>1304</v>
      </c>
      <c r="V42" s="13" t="s">
        <v>1305</v>
      </c>
      <c r="W42" s="13" t="s">
        <v>1306</v>
      </c>
    </row>
    <row r="43" spans="1:23" ht="19.5" customHeight="1" x14ac:dyDescent="0.3">
      <c r="B43" s="806" t="s">
        <v>314</v>
      </c>
      <c r="C43" s="806"/>
      <c r="D43" s="806"/>
      <c r="E43" s="806"/>
      <c r="F43" s="806"/>
      <c r="G43" s="806"/>
      <c r="H43" s="806"/>
      <c r="I43" s="806"/>
      <c r="J43" s="806"/>
      <c r="K43" s="806"/>
      <c r="L43" s="770">
        <f>P4</f>
        <v>0</v>
      </c>
      <c r="M43" s="770"/>
      <c r="N43" s="770"/>
      <c r="O43" s="210"/>
      <c r="P43" s="248">
        <f>IF(AND(R43&gt;0,R43&lt;0.01),0.01,ROUND(R43,2))</f>
        <v>0</v>
      </c>
      <c r="R43" s="559">
        <f>IF(O43&gt;0,L43*O43,L43)</f>
        <v>0</v>
      </c>
      <c r="S43" s="7"/>
      <c r="T43" s="394">
        <f>P43</f>
        <v>0</v>
      </c>
      <c r="U43" s="370">
        <f>LARGE($T$43:$T$52,1)</f>
        <v>0</v>
      </c>
      <c r="V43" s="408">
        <f>U43+U44*(1-U43)</f>
        <v>0</v>
      </c>
      <c r="W43" s="394">
        <f t="shared" ref="W43:W51" si="0">ROUND(V43,2)</f>
        <v>0</v>
      </c>
    </row>
    <row r="44" spans="1:23" ht="19.5" customHeight="1" x14ac:dyDescent="0.3">
      <c r="B44" s="776" t="s">
        <v>322</v>
      </c>
      <c r="C44" s="776"/>
      <c r="D44" s="776"/>
      <c r="E44" s="776"/>
      <c r="F44" s="776"/>
      <c r="G44" s="776"/>
      <c r="H44" s="776"/>
      <c r="I44" s="776"/>
      <c r="J44" s="776"/>
      <c r="K44" s="776"/>
      <c r="L44" s="770">
        <f>P8</f>
        <v>0</v>
      </c>
      <c r="M44" s="770"/>
      <c r="N44" s="770"/>
      <c r="O44" s="210"/>
      <c r="P44" s="248">
        <f t="shared" ref="P44:P52" si="1">IF(AND(R44&gt;0,R44&lt;0.01),0.01,ROUND(R44,2))</f>
        <v>0</v>
      </c>
      <c r="R44" s="559">
        <f t="shared" ref="R44:R52" si="2">IF(O44&gt;0,L44*O44,L44)</f>
        <v>0</v>
      </c>
      <c r="S44" s="7"/>
      <c r="T44" s="394">
        <f t="shared" ref="T44:T52" si="3">P44</f>
        <v>0</v>
      </c>
      <c r="U44" s="370">
        <f>LARGE($T$43:$T$52,2)</f>
        <v>0</v>
      </c>
      <c r="V44" s="408">
        <f t="shared" ref="V44:V51" si="4">W43+U45*(1-W43)</f>
        <v>0</v>
      </c>
      <c r="W44" s="394">
        <f t="shared" si="0"/>
        <v>0</v>
      </c>
    </row>
    <row r="45" spans="1:23" ht="19.5" customHeight="1" x14ac:dyDescent="0.3">
      <c r="B45" s="776" t="s">
        <v>315</v>
      </c>
      <c r="C45" s="776"/>
      <c r="D45" s="776"/>
      <c r="E45" s="776"/>
      <c r="F45" s="776"/>
      <c r="G45" s="776"/>
      <c r="H45" s="776"/>
      <c r="I45" s="776"/>
      <c r="J45" s="776"/>
      <c r="K45" s="776"/>
      <c r="L45" s="770">
        <f>P11</f>
        <v>0</v>
      </c>
      <c r="M45" s="770"/>
      <c r="N45" s="770"/>
      <c r="O45" s="210"/>
      <c r="P45" s="248">
        <f t="shared" si="1"/>
        <v>0</v>
      </c>
      <c r="R45" s="559">
        <f t="shared" si="2"/>
        <v>0</v>
      </c>
      <c r="S45" s="7"/>
      <c r="T45" s="394">
        <f t="shared" si="3"/>
        <v>0</v>
      </c>
      <c r="U45" s="370">
        <f>LARGE($T$43:$T$52,3)</f>
        <v>0</v>
      </c>
      <c r="V45" s="408">
        <f t="shared" si="4"/>
        <v>0</v>
      </c>
      <c r="W45" s="394">
        <f t="shared" si="0"/>
        <v>0</v>
      </c>
    </row>
    <row r="46" spans="1:23" ht="19.5" customHeight="1" x14ac:dyDescent="0.3">
      <c r="B46" s="776" t="s">
        <v>316</v>
      </c>
      <c r="C46" s="776"/>
      <c r="D46" s="776"/>
      <c r="E46" s="776"/>
      <c r="F46" s="776"/>
      <c r="G46" s="776"/>
      <c r="H46" s="776"/>
      <c r="I46" s="776"/>
      <c r="J46" s="776"/>
      <c r="K46" s="776"/>
      <c r="L46" s="770">
        <f>P15</f>
        <v>0</v>
      </c>
      <c r="M46" s="770"/>
      <c r="N46" s="770"/>
      <c r="O46" s="210"/>
      <c r="P46" s="248">
        <f t="shared" si="1"/>
        <v>0</v>
      </c>
      <c r="R46" s="559">
        <f t="shared" si="2"/>
        <v>0</v>
      </c>
      <c r="S46" s="7"/>
      <c r="T46" s="394">
        <f t="shared" si="3"/>
        <v>0</v>
      </c>
      <c r="U46" s="370">
        <f>LARGE($T$43:$T$52,4)</f>
        <v>0</v>
      </c>
      <c r="V46" s="408">
        <f t="shared" si="4"/>
        <v>0</v>
      </c>
      <c r="W46" s="394">
        <f t="shared" si="0"/>
        <v>0</v>
      </c>
    </row>
    <row r="47" spans="1:23" ht="19.5" customHeight="1" x14ac:dyDescent="0.3">
      <c r="B47" s="776" t="s">
        <v>317</v>
      </c>
      <c r="C47" s="776"/>
      <c r="D47" s="776"/>
      <c r="E47" s="776"/>
      <c r="F47" s="776"/>
      <c r="G47" s="776"/>
      <c r="H47" s="776"/>
      <c r="I47" s="776"/>
      <c r="J47" s="776"/>
      <c r="K47" s="776"/>
      <c r="L47" s="770">
        <f>P18</f>
        <v>0</v>
      </c>
      <c r="M47" s="770"/>
      <c r="N47" s="770"/>
      <c r="O47" s="210"/>
      <c r="P47" s="248">
        <f t="shared" si="1"/>
        <v>0</v>
      </c>
      <c r="R47" s="559">
        <f t="shared" si="2"/>
        <v>0</v>
      </c>
      <c r="S47" s="7"/>
      <c r="T47" s="394">
        <f t="shared" si="3"/>
        <v>0</v>
      </c>
      <c r="U47" s="370">
        <f>LARGE($T$43:$T$52,5)</f>
        <v>0</v>
      </c>
      <c r="V47" s="408">
        <f t="shared" si="4"/>
        <v>0</v>
      </c>
      <c r="W47" s="394">
        <f t="shared" si="0"/>
        <v>0</v>
      </c>
    </row>
    <row r="48" spans="1:23" ht="19.5" customHeight="1" x14ac:dyDescent="0.3">
      <c r="B48" s="776" t="s">
        <v>318</v>
      </c>
      <c r="C48" s="776"/>
      <c r="D48" s="776"/>
      <c r="E48" s="776"/>
      <c r="F48" s="776"/>
      <c r="G48" s="776"/>
      <c r="H48" s="776"/>
      <c r="I48" s="776"/>
      <c r="J48" s="776"/>
      <c r="K48" s="776"/>
      <c r="L48" s="770">
        <f>P22</f>
        <v>0</v>
      </c>
      <c r="M48" s="770"/>
      <c r="N48" s="770"/>
      <c r="O48" s="210"/>
      <c r="P48" s="248">
        <f t="shared" si="1"/>
        <v>0</v>
      </c>
      <c r="R48" s="559">
        <f t="shared" si="2"/>
        <v>0</v>
      </c>
      <c r="S48" s="7"/>
      <c r="T48" s="394">
        <f t="shared" si="3"/>
        <v>0</v>
      </c>
      <c r="U48" s="370">
        <f>LARGE($T$43:$T$52,6)</f>
        <v>0</v>
      </c>
      <c r="V48" s="408">
        <f t="shared" si="4"/>
        <v>0</v>
      </c>
      <c r="W48" s="394">
        <f t="shared" si="0"/>
        <v>0</v>
      </c>
    </row>
    <row r="49" spans="2:23" ht="19.5" customHeight="1" x14ac:dyDescent="0.3">
      <c r="B49" s="776" t="s">
        <v>319</v>
      </c>
      <c r="C49" s="776"/>
      <c r="D49" s="776"/>
      <c r="E49" s="776"/>
      <c r="F49" s="776"/>
      <c r="G49" s="776"/>
      <c r="H49" s="776"/>
      <c r="I49" s="776"/>
      <c r="J49" s="776"/>
      <c r="K49" s="776"/>
      <c r="L49" s="770">
        <f>P26</f>
        <v>0</v>
      </c>
      <c r="M49" s="770"/>
      <c r="N49" s="770"/>
      <c r="O49" s="210"/>
      <c r="P49" s="248">
        <f t="shared" si="1"/>
        <v>0</v>
      </c>
      <c r="R49" s="559">
        <f t="shared" si="2"/>
        <v>0</v>
      </c>
      <c r="S49" s="7"/>
      <c r="T49" s="394">
        <f t="shared" si="3"/>
        <v>0</v>
      </c>
      <c r="U49" s="370">
        <f>LARGE($T$43:$T$52,7)</f>
        <v>0</v>
      </c>
      <c r="V49" s="408">
        <f t="shared" si="4"/>
        <v>0</v>
      </c>
      <c r="W49" s="394">
        <f t="shared" si="0"/>
        <v>0</v>
      </c>
    </row>
    <row r="50" spans="2:23" ht="19.5" customHeight="1" x14ac:dyDescent="0.3">
      <c r="B50" s="776" t="s">
        <v>320</v>
      </c>
      <c r="C50" s="776"/>
      <c r="D50" s="776"/>
      <c r="E50" s="776"/>
      <c r="F50" s="776"/>
      <c r="G50" s="776"/>
      <c r="H50" s="776"/>
      <c r="I50" s="776"/>
      <c r="J50" s="776"/>
      <c r="K50" s="776"/>
      <c r="L50" s="770">
        <f>P30</f>
        <v>0</v>
      </c>
      <c r="M50" s="770"/>
      <c r="N50" s="770"/>
      <c r="O50" s="210"/>
      <c r="P50" s="248">
        <f t="shared" si="1"/>
        <v>0</v>
      </c>
      <c r="R50" s="559">
        <f t="shared" si="2"/>
        <v>0</v>
      </c>
      <c r="S50" s="7"/>
      <c r="T50" s="394">
        <f t="shared" si="3"/>
        <v>0</v>
      </c>
      <c r="U50" s="370">
        <f>LARGE($T$43:$T$52,8)</f>
        <v>0</v>
      </c>
      <c r="V50" s="408">
        <f t="shared" si="4"/>
        <v>0</v>
      </c>
      <c r="W50" s="394">
        <f t="shared" si="0"/>
        <v>0</v>
      </c>
    </row>
    <row r="51" spans="2:23" ht="19.5" customHeight="1" x14ac:dyDescent="0.3">
      <c r="B51" s="776" t="s">
        <v>321</v>
      </c>
      <c r="C51" s="776"/>
      <c r="D51" s="776"/>
      <c r="E51" s="776"/>
      <c r="F51" s="776"/>
      <c r="G51" s="776"/>
      <c r="H51" s="776"/>
      <c r="I51" s="776"/>
      <c r="J51" s="776"/>
      <c r="K51" s="776"/>
      <c r="L51" s="770">
        <f>P35</f>
        <v>0</v>
      </c>
      <c r="M51" s="770"/>
      <c r="N51" s="770"/>
      <c r="O51" s="210"/>
      <c r="P51" s="248">
        <f t="shared" si="1"/>
        <v>0</v>
      </c>
      <c r="R51" s="559">
        <f t="shared" si="2"/>
        <v>0</v>
      </c>
      <c r="S51" s="7"/>
      <c r="T51" s="394">
        <f t="shared" si="3"/>
        <v>0</v>
      </c>
      <c r="U51" s="370">
        <f>LARGE($T$43:$T$52,9)</f>
        <v>0</v>
      </c>
      <c r="V51" s="408">
        <f t="shared" si="4"/>
        <v>0</v>
      </c>
      <c r="W51" s="394">
        <f t="shared" si="0"/>
        <v>0</v>
      </c>
    </row>
    <row r="52" spans="2:23" ht="19.5" customHeight="1" x14ac:dyDescent="0.3">
      <c r="B52" s="776" t="s">
        <v>323</v>
      </c>
      <c r="C52" s="776"/>
      <c r="D52" s="776"/>
      <c r="E52" s="776"/>
      <c r="F52" s="776"/>
      <c r="G52" s="776"/>
      <c r="H52" s="776"/>
      <c r="I52" s="776"/>
      <c r="J52" s="776"/>
      <c r="K52" s="776"/>
      <c r="L52" s="770">
        <f>P38</f>
        <v>0</v>
      </c>
      <c r="M52" s="770"/>
      <c r="N52" s="770"/>
      <c r="O52" s="210"/>
      <c r="P52" s="248">
        <f t="shared" si="1"/>
        <v>0</v>
      </c>
      <c r="R52" s="559">
        <f t="shared" si="2"/>
        <v>0</v>
      </c>
      <c r="S52" s="7"/>
      <c r="T52" s="394">
        <f t="shared" si="3"/>
        <v>0</v>
      </c>
      <c r="U52" s="370">
        <f>LARGE($T$43:$T$52,10)</f>
        <v>0</v>
      </c>
    </row>
    <row r="53" spans="2:23" ht="21" customHeight="1" x14ac:dyDescent="0.3">
      <c r="B53" s="358"/>
      <c r="C53" s="221"/>
      <c r="D53" s="221"/>
      <c r="E53" s="221"/>
      <c r="F53" s="221"/>
      <c r="G53" s="221"/>
      <c r="H53" s="221"/>
      <c r="I53" s="221"/>
      <c r="J53" s="322"/>
      <c r="K53" s="249" t="s">
        <v>1537</v>
      </c>
      <c r="L53" s="221"/>
      <c r="M53" s="221"/>
      <c r="N53" s="221"/>
      <c r="O53" s="222"/>
      <c r="P53" s="250">
        <f>W51</f>
        <v>0</v>
      </c>
    </row>
    <row r="54" spans="2:23" ht="30.75" customHeight="1" x14ac:dyDescent="0.35">
      <c r="B54" s="1049" t="s">
        <v>947</v>
      </c>
      <c r="C54" s="1049"/>
      <c r="D54" s="1049"/>
      <c r="E54" s="1049"/>
      <c r="F54" s="1049"/>
      <c r="G54" s="1049"/>
      <c r="H54" s="1049"/>
      <c r="I54" s="1049"/>
      <c r="J54" s="1049"/>
      <c r="K54" s="1049"/>
      <c r="L54" s="1049"/>
      <c r="M54" s="1049"/>
      <c r="N54" s="1049"/>
      <c r="O54" s="1049"/>
      <c r="P54" s="1049"/>
    </row>
    <row r="55" spans="2:23" x14ac:dyDescent="0.3">
      <c r="B55" s="594" t="s">
        <v>790</v>
      </c>
      <c r="C55" s="1684" t="str">
        <f>IF(U1&lt;&gt;"",U1,"")</f>
        <v>Go to PPD Worksheet</v>
      </c>
      <c r="D55" s="1684"/>
      <c r="E55" s="1684"/>
      <c r="F55" s="1684"/>
      <c r="G55" s="1684"/>
      <c r="H55" s="1684"/>
      <c r="I55" s="1527" t="str">
        <f>IF(T1&lt;&gt;"",T1,"")</f>
        <v/>
      </c>
      <c r="J55" s="1527"/>
      <c r="K55" s="1527"/>
      <c r="L55" s="1527"/>
      <c r="M55" s="1527"/>
      <c r="N55" s="1527"/>
    </row>
    <row r="59" spans="2:23" hidden="1" x14ac:dyDescent="0.3">
      <c r="B59" s="2">
        <v>0.01</v>
      </c>
      <c r="C59" s="2">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3">
      <c r="B2" s="792"/>
      <c r="C2" s="792"/>
      <c r="D2" s="792"/>
      <c r="E2" s="792"/>
      <c r="F2" s="792"/>
      <c r="G2" s="792"/>
      <c r="H2" s="792"/>
      <c r="I2" s="792"/>
      <c r="J2" s="792"/>
      <c r="K2" s="792"/>
      <c r="L2" s="792"/>
      <c r="M2" s="792"/>
      <c r="N2" s="792"/>
      <c r="O2" s="792"/>
      <c r="P2" s="792"/>
    </row>
    <row r="3" spans="2:170" ht="24" customHeight="1" x14ac:dyDescent="0.4">
      <c r="B3" s="921" t="s">
        <v>1060</v>
      </c>
      <c r="C3" s="921"/>
      <c r="D3" s="921"/>
      <c r="E3" s="921"/>
      <c r="F3" s="921"/>
      <c r="G3" s="921"/>
      <c r="H3" s="921"/>
      <c r="I3" s="921"/>
      <c r="J3" s="921"/>
      <c r="K3" s="921"/>
      <c r="L3" s="921"/>
      <c r="M3" s="921"/>
      <c r="N3" s="921"/>
      <c r="O3" s="921"/>
      <c r="P3" s="921"/>
    </row>
    <row r="4" spans="2:170" ht="26.25" customHeight="1" x14ac:dyDescent="0.3">
      <c r="B4" s="1574" t="s">
        <v>431</v>
      </c>
      <c r="C4" s="1575"/>
      <c r="D4" s="1575"/>
      <c r="E4" s="1575"/>
      <c r="F4" s="1575"/>
      <c r="G4" s="1575"/>
      <c r="H4" s="1575"/>
      <c r="I4" s="1575"/>
      <c r="J4" s="1575"/>
      <c r="K4" s="1575"/>
      <c r="L4" s="1575"/>
      <c r="M4" s="1575"/>
      <c r="N4" s="1575"/>
      <c r="O4" s="1575"/>
      <c r="P4" s="1576"/>
    </row>
    <row r="5" spans="2:170" ht="27.75" customHeight="1" x14ac:dyDescent="0.3">
      <c r="B5" s="767" t="s">
        <v>430</v>
      </c>
      <c r="C5" s="768"/>
      <c r="D5" s="768"/>
      <c r="E5" s="768"/>
      <c r="F5" s="768"/>
      <c r="G5" s="768"/>
      <c r="H5" s="768"/>
      <c r="I5" s="768"/>
      <c r="J5" s="768"/>
      <c r="K5" s="768"/>
      <c r="L5" s="768"/>
      <c r="M5" s="768"/>
      <c r="N5" s="768"/>
      <c r="O5" s="768"/>
      <c r="P5" s="769"/>
    </row>
    <row r="6" spans="2:170" ht="21" customHeight="1" x14ac:dyDescent="0.3">
      <c r="B6" s="1625" t="s">
        <v>1214</v>
      </c>
      <c r="C6" s="1641"/>
      <c r="D6" s="1642"/>
      <c r="E6" s="771" t="s">
        <v>1281</v>
      </c>
      <c r="F6" s="772"/>
      <c r="G6" s="772"/>
      <c r="H6" s="772"/>
      <c r="I6" s="772"/>
      <c r="J6" s="772"/>
      <c r="K6" s="772"/>
      <c r="L6" s="772"/>
      <c r="M6" s="772"/>
      <c r="N6" s="772"/>
      <c r="O6" s="773"/>
      <c r="P6" s="992">
        <f>IF(S6=2,0.03,IF(S6=3,0.15,IF(S6=4,0.38,IF(S6=5,0.68,IF(S6=6,0.9,0)))))</f>
        <v>0</v>
      </c>
      <c r="R6" s="146" t="s">
        <v>2296</v>
      </c>
      <c r="S6" s="556">
        <v>1</v>
      </c>
    </row>
    <row r="7" spans="2:170" ht="42" customHeight="1" x14ac:dyDescent="0.3">
      <c r="B7" s="1666"/>
      <c r="C7" s="1643"/>
      <c r="D7" s="1644"/>
      <c r="E7" s="771" t="s">
        <v>2121</v>
      </c>
      <c r="F7" s="772"/>
      <c r="G7" s="772"/>
      <c r="H7" s="772"/>
      <c r="I7" s="772"/>
      <c r="J7" s="772"/>
      <c r="K7" s="772"/>
      <c r="L7" s="772"/>
      <c r="M7" s="772"/>
      <c r="N7" s="772"/>
      <c r="O7" s="773"/>
      <c r="P7" s="1081"/>
    </row>
    <row r="8" spans="2:170" ht="42" customHeight="1" x14ac:dyDescent="0.3">
      <c r="B8" s="448"/>
      <c r="C8" s="1643"/>
      <c r="D8" s="1644"/>
      <c r="E8" s="771" t="s">
        <v>2122</v>
      </c>
      <c r="F8" s="772"/>
      <c r="G8" s="772"/>
      <c r="H8" s="772"/>
      <c r="I8" s="772"/>
      <c r="J8" s="772"/>
      <c r="K8" s="772"/>
      <c r="L8" s="772"/>
      <c r="M8" s="772"/>
      <c r="N8" s="772"/>
      <c r="O8" s="773"/>
      <c r="P8" s="1081"/>
    </row>
    <row r="9" spans="2:170" ht="42" customHeight="1" x14ac:dyDescent="0.3">
      <c r="B9" s="448"/>
      <c r="C9" s="1643"/>
      <c r="D9" s="1644"/>
      <c r="E9" s="771" t="s">
        <v>2123</v>
      </c>
      <c r="F9" s="772"/>
      <c r="G9" s="772"/>
      <c r="H9" s="772"/>
      <c r="I9" s="772"/>
      <c r="J9" s="772"/>
      <c r="K9" s="772"/>
      <c r="L9" s="772"/>
      <c r="M9" s="772"/>
      <c r="N9" s="772"/>
      <c r="O9" s="773"/>
      <c r="P9" s="1081"/>
    </row>
    <row r="10" spans="2:170" ht="42" customHeight="1" x14ac:dyDescent="0.3">
      <c r="B10" s="448"/>
      <c r="C10" s="1643"/>
      <c r="D10" s="1644"/>
      <c r="E10" s="771" t="s">
        <v>2124</v>
      </c>
      <c r="F10" s="772"/>
      <c r="G10" s="772"/>
      <c r="H10" s="772"/>
      <c r="I10" s="772"/>
      <c r="J10" s="772"/>
      <c r="K10" s="772"/>
      <c r="L10" s="772"/>
      <c r="M10" s="772"/>
      <c r="N10" s="772"/>
      <c r="O10" s="773"/>
      <c r="P10" s="1081"/>
    </row>
    <row r="11" spans="2:170" ht="42" customHeight="1" x14ac:dyDescent="0.3">
      <c r="B11" s="181"/>
      <c r="C11" s="1024"/>
      <c r="D11" s="1645"/>
      <c r="E11" s="771" t="s">
        <v>2125</v>
      </c>
      <c r="F11" s="772"/>
      <c r="G11" s="772"/>
      <c r="H11" s="772"/>
      <c r="I11" s="772"/>
      <c r="J11" s="772"/>
      <c r="K11" s="772"/>
      <c r="L11" s="772"/>
      <c r="M11" s="772"/>
      <c r="N11" s="772"/>
      <c r="O11" s="773"/>
      <c r="P11" s="1082"/>
    </row>
    <row r="12" spans="2:170" ht="29.25" customHeight="1" x14ac:dyDescent="0.3">
      <c r="B12" s="771" t="s">
        <v>633</v>
      </c>
      <c r="C12" s="772"/>
      <c r="D12" s="772"/>
      <c r="E12" s="772"/>
      <c r="F12" s="772"/>
      <c r="G12" s="772"/>
      <c r="H12" s="772"/>
      <c r="I12" s="772"/>
      <c r="J12" s="772"/>
      <c r="K12" s="772"/>
      <c r="L12" s="772"/>
      <c r="M12" s="772"/>
      <c r="N12" s="772"/>
      <c r="O12" s="772"/>
      <c r="P12" s="1694">
        <f>IF(S12=2,0.03,IF(S12=3,0.08,IF(S12=4,0.13,0)))</f>
        <v>0</v>
      </c>
      <c r="R12" s="146" t="s">
        <v>2296</v>
      </c>
      <c r="S12" s="556">
        <v>1</v>
      </c>
    </row>
    <row r="13" spans="2:170" ht="21" customHeight="1" x14ac:dyDescent="0.3">
      <c r="B13" s="417" t="s">
        <v>1215</v>
      </c>
      <c r="C13" s="1641"/>
      <c r="D13" s="1642"/>
      <c r="E13" s="1697" t="s">
        <v>1281</v>
      </c>
      <c r="F13" s="1423"/>
      <c r="G13" s="1423"/>
      <c r="H13" s="1423"/>
      <c r="I13" s="1423"/>
      <c r="J13" s="1423"/>
      <c r="K13" s="1423"/>
      <c r="L13" s="1423"/>
      <c r="M13" s="1423"/>
      <c r="N13" s="1423"/>
      <c r="O13" s="1424"/>
      <c r="P13" s="1695"/>
    </row>
    <row r="14" spans="2:170" ht="27" customHeight="1" x14ac:dyDescent="0.3">
      <c r="B14" s="421"/>
      <c r="C14" s="1643"/>
      <c r="D14" s="1644"/>
      <c r="E14" s="1697" t="s">
        <v>2126</v>
      </c>
      <c r="F14" s="1423"/>
      <c r="G14" s="1423"/>
      <c r="H14" s="1423"/>
      <c r="I14" s="1423"/>
      <c r="J14" s="1423"/>
      <c r="K14" s="1423"/>
      <c r="L14" s="1423"/>
      <c r="M14" s="1423"/>
      <c r="N14" s="1423"/>
      <c r="O14" s="1424"/>
      <c r="P14" s="1695"/>
    </row>
    <row r="15" spans="2:170" ht="26.25" customHeight="1" x14ac:dyDescent="0.3">
      <c r="B15" s="421"/>
      <c r="C15" s="1643"/>
      <c r="D15" s="1644"/>
      <c r="E15" s="1697" t="s">
        <v>2127</v>
      </c>
      <c r="F15" s="1423"/>
      <c r="G15" s="1423"/>
      <c r="H15" s="1423"/>
      <c r="I15" s="1423"/>
      <c r="J15" s="1423"/>
      <c r="K15" s="1423"/>
      <c r="L15" s="1423"/>
      <c r="M15" s="1423"/>
      <c r="N15" s="1423"/>
      <c r="O15" s="1424"/>
      <c r="P15" s="1695"/>
    </row>
    <row r="16" spans="2:170" ht="24.75" customHeight="1" x14ac:dyDescent="0.3">
      <c r="B16" s="431"/>
      <c r="C16" s="1024"/>
      <c r="D16" s="1645"/>
      <c r="E16" s="1697" t="s">
        <v>2128</v>
      </c>
      <c r="F16" s="1423"/>
      <c r="G16" s="1423"/>
      <c r="H16" s="1423"/>
      <c r="I16" s="1423"/>
      <c r="J16" s="1423"/>
      <c r="K16" s="1423"/>
      <c r="L16" s="1423"/>
      <c r="M16" s="1423"/>
      <c r="N16" s="1423"/>
      <c r="O16" s="1424"/>
      <c r="P16" s="1696"/>
    </row>
    <row r="18" spans="2:26" ht="27" customHeight="1" x14ac:dyDescent="0.3">
      <c r="B18" s="879" t="s">
        <v>1817</v>
      </c>
      <c r="C18" s="880"/>
      <c r="D18" s="880"/>
      <c r="E18" s="880"/>
      <c r="F18" s="880"/>
      <c r="G18" s="880"/>
      <c r="H18" s="880"/>
      <c r="I18" s="880"/>
      <c r="J18" s="880"/>
      <c r="K18" s="880"/>
      <c r="L18" s="880"/>
      <c r="M18" s="880"/>
      <c r="N18" s="881"/>
      <c r="O18" s="271" t="s">
        <v>1524</v>
      </c>
      <c r="P18" s="319" t="s">
        <v>1303</v>
      </c>
      <c r="R18" s="128" t="s">
        <v>2294</v>
      </c>
      <c r="S18" s="146" t="s">
        <v>1303</v>
      </c>
      <c r="T18" s="13" t="s">
        <v>1304</v>
      </c>
      <c r="U18" s="13" t="s">
        <v>1305</v>
      </c>
      <c r="V18" s="13" t="s">
        <v>1306</v>
      </c>
    </row>
    <row r="19" spans="2:26" ht="19.5" customHeight="1" x14ac:dyDescent="0.3">
      <c r="B19" s="776" t="s">
        <v>1375</v>
      </c>
      <c r="C19" s="776"/>
      <c r="D19" s="776"/>
      <c r="E19" s="776"/>
      <c r="F19" s="776"/>
      <c r="G19" s="776"/>
      <c r="H19" s="776"/>
      <c r="I19" s="776"/>
      <c r="J19" s="776"/>
      <c r="K19" s="776"/>
      <c r="L19" s="770">
        <f>P6</f>
        <v>0</v>
      </c>
      <c r="M19" s="770"/>
      <c r="N19" s="770"/>
      <c r="O19" s="210"/>
      <c r="P19" s="21">
        <f>IF(AND(R19&gt;0,R19&lt;0.01),0.01,ROUND(R19,2))</f>
        <v>0</v>
      </c>
      <c r="R19" s="559">
        <f>IF(O19&gt;0,L19*O19,L19)</f>
        <v>0</v>
      </c>
      <c r="S19" s="394">
        <f>P19</f>
        <v>0</v>
      </c>
      <c r="T19" s="370">
        <f>LARGE(S19:S20,1)</f>
        <v>0</v>
      </c>
      <c r="U19" s="559">
        <f>T19+T20*(1-T19)</f>
        <v>0</v>
      </c>
      <c r="V19" s="394">
        <f>ROUND(U19,2)</f>
        <v>0</v>
      </c>
      <c r="Z19" s="2" t="s">
        <v>2302</v>
      </c>
    </row>
    <row r="20" spans="2:26" ht="19.5" customHeight="1" x14ac:dyDescent="0.3">
      <c r="B20" s="776" t="s">
        <v>1376</v>
      </c>
      <c r="C20" s="776"/>
      <c r="D20" s="776"/>
      <c r="E20" s="776"/>
      <c r="F20" s="776"/>
      <c r="G20" s="776"/>
      <c r="H20" s="776"/>
      <c r="I20" s="776"/>
      <c r="J20" s="776"/>
      <c r="K20" s="776"/>
      <c r="L20" s="770">
        <f>P12</f>
        <v>0</v>
      </c>
      <c r="M20" s="770"/>
      <c r="N20" s="770"/>
      <c r="O20" s="210"/>
      <c r="P20" s="21">
        <f>IF(AND(R20&gt;0,R20&lt;0.01),0.01,ROUND(R20,2))</f>
        <v>0</v>
      </c>
      <c r="R20" s="559">
        <f>IF(O20&gt;0,L20*O20,L20)</f>
        <v>0</v>
      </c>
      <c r="S20" s="394">
        <f>P20</f>
        <v>0</v>
      </c>
      <c r="T20" s="370">
        <f>LARGE(S19:S20,2)</f>
        <v>0</v>
      </c>
    </row>
    <row r="21" spans="2:26" ht="20.25" customHeight="1" x14ac:dyDescent="0.3">
      <c r="B21" s="989"/>
      <c r="C21" s="990"/>
      <c r="D21" s="990"/>
      <c r="E21" s="1402" t="s">
        <v>611</v>
      </c>
      <c r="F21" s="1402"/>
      <c r="G21" s="1402"/>
      <c r="H21" s="1402"/>
      <c r="I21" s="1402"/>
      <c r="J21" s="1402"/>
      <c r="K21" s="1402"/>
      <c r="L21" s="1402"/>
      <c r="M21" s="1402"/>
      <c r="N21" s="1402"/>
      <c r="O21" s="1693"/>
      <c r="P21" s="251">
        <f>V19</f>
        <v>0</v>
      </c>
    </row>
    <row r="22" spans="2:26" ht="33.75" customHeight="1" x14ac:dyDescent="0.35">
      <c r="B22" s="1049" t="s">
        <v>947</v>
      </c>
      <c r="C22" s="1049"/>
      <c r="D22" s="1049"/>
      <c r="E22" s="1049"/>
      <c r="F22" s="1049"/>
      <c r="G22" s="1049"/>
      <c r="H22" s="1049"/>
      <c r="I22" s="1049"/>
      <c r="J22" s="1049"/>
      <c r="K22" s="1049"/>
      <c r="L22" s="1049"/>
      <c r="M22" s="1049"/>
      <c r="N22" s="1049"/>
      <c r="O22" s="1049"/>
      <c r="P22" s="1049"/>
    </row>
    <row r="23" spans="2:26" x14ac:dyDescent="0.3">
      <c r="B23" s="594" t="s">
        <v>790</v>
      </c>
      <c r="C23" s="1684" t="str">
        <f>IF(U1&lt;&gt;"",U1,"")</f>
        <v>Go to PPD Worksheet</v>
      </c>
      <c r="D23" s="1684"/>
      <c r="E23" s="1684"/>
      <c r="F23" s="1684"/>
      <c r="G23" s="1684"/>
      <c r="H23" s="1684"/>
      <c r="I23" s="1527" t="str">
        <f>IF(T1&lt;&gt;"",T1,"")</f>
        <v/>
      </c>
      <c r="J23" s="1527"/>
      <c r="K23" s="1527"/>
      <c r="L23" s="1527"/>
      <c r="M23" s="1527"/>
      <c r="N23" s="1527"/>
    </row>
    <row r="24" spans="2:26" hidden="1" x14ac:dyDescent="0.3"/>
    <row r="25" spans="2:26" hidden="1" x14ac:dyDescent="0.3"/>
    <row r="26" spans="2:26" hidden="1" x14ac:dyDescent="0.3"/>
    <row r="27" spans="2:26" hidden="1" x14ac:dyDescent="0.3"/>
    <row r="28" spans="2:26" hidden="1" x14ac:dyDescent="0.3">
      <c r="B28" s="2">
        <v>0.01</v>
      </c>
      <c r="C28" s="2">
        <v>0.99</v>
      </c>
    </row>
    <row r="29" spans="2:26" hidden="1" x14ac:dyDescent="0.3"/>
    <row r="30" spans="2:26" hidden="1" x14ac:dyDescent="0.3"/>
    <row r="31" spans="2:26" hidden="1" x14ac:dyDescent="0.3"/>
    <row r="32" spans="2:26" hidden="1" x14ac:dyDescent="0.3"/>
    <row r="33" hidden="1" x14ac:dyDescent="0.3"/>
    <row r="34" hidden="1" x14ac:dyDescent="0.3"/>
    <row r="35" hidden="1" x14ac:dyDescent="0.3"/>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50800</xdr:rowOff>
                  </from>
                  <to>
                    <xdr:col>4</xdr:col>
                    <xdr:colOff>44450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44450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44450</xdr:colOff>
                    <xdr:row>14</xdr:row>
                    <xdr:rowOff>254000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298450</xdr:rowOff>
                  </from>
                  <to>
                    <xdr:col>4</xdr:col>
                    <xdr:colOff>44450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31750</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95250</xdr:rowOff>
                  </from>
                  <to>
                    <xdr:col>4</xdr:col>
                    <xdr:colOff>38100</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31750</xdr:rowOff>
                  </from>
                  <to>
                    <xdr:col>4</xdr:col>
                    <xdr:colOff>38100</xdr:colOff>
                    <xdr:row>8</xdr:row>
                    <xdr:rowOff>196850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241300</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146050</xdr:rowOff>
                  </from>
                  <to>
                    <xdr:col>4</xdr:col>
                    <xdr:colOff>38100</xdr:colOff>
                    <xdr:row>10</xdr:row>
                    <xdr:rowOff>311150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 x14ac:dyDescent="0.3"/>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3">
      <c r="B1" s="10" t="s">
        <v>1732</v>
      </c>
      <c r="E1" s="747" t="str">
        <f>IF('Start here'!A6="","",'Start here'!A6)</f>
        <v/>
      </c>
      <c r="F1" s="751"/>
      <c r="G1" s="751"/>
      <c r="H1" s="751"/>
      <c r="I1" s="751"/>
      <c r="J1" s="751"/>
      <c r="K1" s="752"/>
      <c r="M1" s="747" t="str">
        <f>IF('Start here'!A7="","",'Start here'!A7)</f>
        <v/>
      </c>
      <c r="N1" s="751"/>
      <c r="O1" s="751"/>
      <c r="P1" s="752"/>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3">
      <c r="A2" s="15"/>
      <c r="B2" s="792"/>
      <c r="C2" s="792"/>
      <c r="D2" s="792"/>
      <c r="E2" s="792"/>
      <c r="F2" s="792"/>
      <c r="G2" s="792"/>
      <c r="H2" s="792"/>
      <c r="I2" s="792"/>
      <c r="J2" s="792"/>
      <c r="K2" s="792"/>
      <c r="L2" s="792"/>
      <c r="M2" s="792"/>
      <c r="N2" s="792"/>
      <c r="O2" s="792"/>
      <c r="P2" s="792"/>
    </row>
    <row r="3" spans="1:170" ht="24" customHeight="1" x14ac:dyDescent="0.4">
      <c r="B3" s="920" t="s">
        <v>102</v>
      </c>
      <c r="C3" s="920"/>
      <c r="D3" s="920"/>
      <c r="E3" s="920"/>
      <c r="F3" s="920"/>
      <c r="G3" s="920"/>
      <c r="H3" s="920"/>
      <c r="I3" s="920"/>
      <c r="J3" s="920"/>
      <c r="K3" s="920"/>
      <c r="L3" s="920"/>
      <c r="M3" s="920"/>
      <c r="N3" s="920"/>
      <c r="O3" s="920"/>
      <c r="P3" s="920"/>
    </row>
    <row r="4" spans="1:170" ht="32.15" customHeight="1" x14ac:dyDescent="0.3">
      <c r="B4" s="951" t="s">
        <v>1914</v>
      </c>
      <c r="C4" s="1023"/>
      <c r="D4" s="1023"/>
      <c r="E4" s="776" t="s">
        <v>1281</v>
      </c>
      <c r="F4" s="776"/>
      <c r="G4" s="776"/>
      <c r="H4" s="776"/>
      <c r="I4" s="776"/>
      <c r="J4" s="776"/>
      <c r="K4" s="776"/>
      <c r="L4" s="776"/>
      <c r="M4" s="776"/>
      <c r="N4" s="776"/>
      <c r="O4" s="776"/>
      <c r="P4" s="1660">
        <f>IF(AND(R8&gt;0,R8&lt;0.01),0.01,ROUND(R8,2))</f>
        <v>0</v>
      </c>
      <c r="R4" s="146" t="s">
        <v>2296</v>
      </c>
      <c r="S4" s="556">
        <v>1</v>
      </c>
    </row>
    <row r="5" spans="1:170" ht="32.15" customHeight="1" x14ac:dyDescent="0.3">
      <c r="B5" s="951"/>
      <c r="C5" s="1023"/>
      <c r="D5" s="1023"/>
      <c r="E5" s="776" t="s">
        <v>2129</v>
      </c>
      <c r="F5" s="776"/>
      <c r="G5" s="776"/>
      <c r="H5" s="776"/>
      <c r="I5" s="776"/>
      <c r="J5" s="776"/>
      <c r="K5" s="776"/>
      <c r="L5" s="776"/>
      <c r="M5" s="776"/>
      <c r="N5" s="776"/>
      <c r="O5" s="776"/>
      <c r="P5" s="1660"/>
    </row>
    <row r="6" spans="1:170" ht="32.15" customHeight="1" x14ac:dyDescent="0.3">
      <c r="B6" s="951"/>
      <c r="C6" s="1023"/>
      <c r="D6" s="1023"/>
      <c r="E6" s="776" t="s">
        <v>2130</v>
      </c>
      <c r="F6" s="776"/>
      <c r="G6" s="776"/>
      <c r="H6" s="776"/>
      <c r="I6" s="776"/>
      <c r="J6" s="776"/>
      <c r="K6" s="776"/>
      <c r="L6" s="776"/>
      <c r="M6" s="776"/>
      <c r="N6" s="776"/>
      <c r="O6" s="776"/>
      <c r="P6" s="1660"/>
    </row>
    <row r="7" spans="1:170" ht="43.5" customHeight="1" x14ac:dyDescent="0.3">
      <c r="B7" s="951"/>
      <c r="C7" s="1023"/>
      <c r="D7" s="1023"/>
      <c r="E7" s="776" t="s">
        <v>2131</v>
      </c>
      <c r="F7" s="776"/>
      <c r="G7" s="776"/>
      <c r="H7" s="776"/>
      <c r="I7" s="776"/>
      <c r="J7" s="776"/>
      <c r="K7" s="776"/>
      <c r="L7" s="776"/>
      <c r="M7" s="927"/>
      <c r="N7" s="927"/>
      <c r="O7" s="19" t="s">
        <v>1524</v>
      </c>
      <c r="P7" s="1660"/>
      <c r="R7" s="128" t="s">
        <v>2294</v>
      </c>
    </row>
    <row r="8" spans="1:170" ht="21" customHeight="1" x14ac:dyDescent="0.3">
      <c r="B8" s="951" t="s">
        <v>1125</v>
      </c>
      <c r="C8" s="951"/>
      <c r="D8" s="951"/>
      <c r="E8" s="951"/>
      <c r="F8" s="951"/>
      <c r="G8" s="951"/>
      <c r="H8" s="951"/>
      <c r="I8" s="951"/>
      <c r="J8" s="951"/>
      <c r="K8" s="951"/>
      <c r="L8" s="951"/>
      <c r="M8" s="1660">
        <f>IF(S4=2,0.03,IF(S4=3,0.08,IF(S4=4,0.13,0)))</f>
        <v>0</v>
      </c>
      <c r="N8" s="1660"/>
      <c r="O8" s="210"/>
      <c r="P8" s="1660"/>
      <c r="R8" s="559">
        <f>IF(O8&gt;0,M8*O8,M8)</f>
        <v>0</v>
      </c>
    </row>
    <row r="9" spans="1:170" ht="32.25" customHeight="1" x14ac:dyDescent="0.35">
      <c r="B9" s="1049" t="s">
        <v>947</v>
      </c>
      <c r="C9" s="1049"/>
      <c r="D9" s="1049"/>
      <c r="E9" s="1049"/>
      <c r="F9" s="1049"/>
      <c r="G9" s="1049"/>
      <c r="H9" s="1049"/>
      <c r="I9" s="1049"/>
      <c r="J9" s="1049"/>
      <c r="K9" s="1049"/>
      <c r="L9" s="1049"/>
      <c r="M9" s="1049"/>
      <c r="N9" s="1049"/>
      <c r="O9" s="1049"/>
      <c r="P9" s="1049"/>
    </row>
    <row r="10" spans="1:170" x14ac:dyDescent="0.3">
      <c r="C10" s="1336" t="str">
        <f>IF(U1&lt;&gt;"",U1,"")</f>
        <v>Go to PPD Worksheet</v>
      </c>
      <c r="D10" s="1336"/>
      <c r="E10" s="1336"/>
      <c r="F10" s="1336"/>
      <c r="G10" s="1336"/>
      <c r="H10" s="1336"/>
      <c r="I10" s="1527" t="str">
        <f>IF(T1&lt;&gt;"",T1,"")</f>
        <v/>
      </c>
      <c r="J10" s="1527"/>
      <c r="K10" s="1527"/>
      <c r="L10" s="1527"/>
      <c r="M10" s="1527"/>
      <c r="N10" s="1527"/>
    </row>
    <row r="12" spans="1:170" hidden="1" x14ac:dyDescent="0.3">
      <c r="B12" s="2">
        <v>0.01</v>
      </c>
      <c r="C12" s="1">
        <v>0.99</v>
      </c>
      <c r="D12" s="1"/>
      <c r="E12" s="1"/>
      <c r="F12" s="1"/>
      <c r="G12" s="1"/>
      <c r="H12" s="1"/>
      <c r="I12" s="1"/>
      <c r="J12" s="1"/>
      <c r="K12" s="1"/>
      <c r="L12" s="1"/>
      <c r="M12" s="1"/>
      <c r="N12" s="1"/>
    </row>
    <row r="13" spans="1:170" x14ac:dyDescent="0.3">
      <c r="C13" s="1"/>
      <c r="D13" s="1"/>
      <c r="E13" s="1"/>
      <c r="F13" s="1"/>
      <c r="G13" s="1"/>
      <c r="H13" s="1"/>
      <c r="I13" s="1"/>
      <c r="J13" s="1"/>
    </row>
    <row r="14" spans="1:170" x14ac:dyDescent="0.3">
      <c r="C14" s="1"/>
      <c r="D14" s="1"/>
      <c r="E14" s="1"/>
      <c r="F14" s="1"/>
      <c r="G14" s="1"/>
      <c r="H14" s="1"/>
      <c r="I14" s="1"/>
      <c r="J14" s="1"/>
    </row>
    <row r="15" spans="1:170" x14ac:dyDescent="0.3">
      <c r="C15" s="1"/>
      <c r="D15" s="1"/>
      <c r="E15" s="1"/>
      <c r="F15" s="1"/>
      <c r="G15" s="1"/>
      <c r="H15" s="1"/>
      <c r="I15" s="1"/>
      <c r="J15" s="1"/>
    </row>
    <row r="16" spans="1:170" x14ac:dyDescent="0.3">
      <c r="C16" s="1"/>
      <c r="D16" s="1"/>
      <c r="E16" s="1"/>
      <c r="F16" s="1"/>
      <c r="G16" s="1"/>
      <c r="H16" s="1"/>
      <c r="I16" s="1"/>
      <c r="J16" s="1"/>
    </row>
    <row r="17" spans="3:14" x14ac:dyDescent="0.3">
      <c r="C17" s="1"/>
      <c r="D17" s="1"/>
      <c r="E17" s="1"/>
      <c r="F17" s="1"/>
      <c r="G17" s="1"/>
      <c r="H17" s="1"/>
      <c r="I17" s="1"/>
      <c r="J17" s="1"/>
    </row>
    <row r="18" spans="3:14" x14ac:dyDescent="0.3">
      <c r="C18" s="1"/>
      <c r="D18" s="1"/>
      <c r="E18" s="1"/>
      <c r="F18" s="1"/>
      <c r="G18" s="1"/>
      <c r="H18" s="1"/>
      <c r="I18" s="1"/>
      <c r="J18" s="1"/>
    </row>
    <row r="19" spans="3:14" x14ac:dyDescent="0.3">
      <c r="C19" s="1"/>
      <c r="D19" s="1"/>
      <c r="E19" s="1"/>
      <c r="F19" s="1"/>
      <c r="G19" s="1"/>
      <c r="H19" s="1"/>
      <c r="I19" s="1"/>
      <c r="J19" s="1"/>
      <c r="K19" s="1"/>
      <c r="L19" s="1"/>
      <c r="M19" s="1"/>
      <c r="N19" s="1"/>
    </row>
  </sheetData>
  <sheetProtection sheet="1" objects="1" scenarios="1"/>
  <mergeCells count="1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 ref="M7:N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336550</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120650</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177800</xdr:rowOff>
                  </from>
                  <to>
                    <xdr:col>4</xdr:col>
                    <xdr:colOff>38100</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190500</xdr:rowOff>
                  </from>
                  <to>
                    <xdr:col>4</xdr:col>
                    <xdr:colOff>38100</xdr:colOff>
                    <xdr:row>6</xdr:row>
                    <xdr:rowOff>431800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 x14ac:dyDescent="0.3"/>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3">
      <c r="A1" s="270" t="s">
        <v>2303</v>
      </c>
      <c r="B1" s="50" t="s">
        <v>1573</v>
      </c>
      <c r="C1" s="50" t="s">
        <v>1573</v>
      </c>
      <c r="D1" s="50" t="s">
        <v>1573</v>
      </c>
      <c r="E1" s="50" t="s">
        <v>1573</v>
      </c>
      <c r="F1" s="50" t="s">
        <v>1573</v>
      </c>
      <c r="G1" s="50" t="s">
        <v>1573</v>
      </c>
      <c r="H1" s="259" t="s">
        <v>410</v>
      </c>
      <c r="I1" s="259" t="s">
        <v>410</v>
      </c>
      <c r="J1" s="259" t="s">
        <v>410</v>
      </c>
      <c r="K1" s="259" t="s">
        <v>410</v>
      </c>
      <c r="L1" s="259" t="s">
        <v>410</v>
      </c>
      <c r="M1" s="259" t="s">
        <v>410</v>
      </c>
      <c r="N1" s="259" t="s">
        <v>410</v>
      </c>
      <c r="O1" s="259" t="s">
        <v>410</v>
      </c>
      <c r="P1" s="259" t="s">
        <v>410</v>
      </c>
      <c r="Q1" s="147" t="s">
        <v>1724</v>
      </c>
      <c r="R1" s="147" t="s">
        <v>1724</v>
      </c>
      <c r="S1" s="147" t="s">
        <v>1724</v>
      </c>
      <c r="T1" s="147" t="s">
        <v>1724</v>
      </c>
      <c r="U1" s="147" t="s">
        <v>1724</v>
      </c>
      <c r="V1" s="588" t="s">
        <v>1655</v>
      </c>
      <c r="W1" s="588" t="s">
        <v>1655</v>
      </c>
      <c r="X1" s="147" t="s">
        <v>1655</v>
      </c>
      <c r="Y1" s="147" t="s">
        <v>1655</v>
      </c>
      <c r="Z1" s="588" t="s">
        <v>411</v>
      </c>
      <c r="AA1" s="588" t="s">
        <v>411</v>
      </c>
      <c r="AB1" s="588" t="s">
        <v>411</v>
      </c>
      <c r="AC1" s="588" t="s">
        <v>411</v>
      </c>
      <c r="AD1" s="588" t="s">
        <v>411</v>
      </c>
      <c r="AE1" s="147" t="s">
        <v>411</v>
      </c>
      <c r="AF1" s="147" t="s">
        <v>411</v>
      </c>
      <c r="AG1" s="588" t="s">
        <v>411</v>
      </c>
      <c r="AH1" s="147" t="s">
        <v>1724</v>
      </c>
      <c r="AI1" s="588" t="s">
        <v>412</v>
      </c>
      <c r="AJ1" s="588" t="s">
        <v>412</v>
      </c>
      <c r="AK1" s="588" t="s">
        <v>412</v>
      </c>
      <c r="AL1" s="684" t="s">
        <v>413</v>
      </c>
      <c r="AM1" s="588" t="s">
        <v>412</v>
      </c>
      <c r="AO1" s="99"/>
      <c r="AP1" s="99"/>
      <c r="AQ1" s="99"/>
      <c r="AR1" s="99"/>
      <c r="AS1" s="147" t="s">
        <v>544</v>
      </c>
      <c r="AX1" s="147" t="s">
        <v>544</v>
      </c>
      <c r="BC1" s="147" t="s">
        <v>545</v>
      </c>
      <c r="BH1" s="147" t="s">
        <v>545</v>
      </c>
    </row>
    <row r="2" spans="1:125" ht="100.5" customHeight="1" x14ac:dyDescent="0.3">
      <c r="A2" s="259" t="s">
        <v>1963</v>
      </c>
      <c r="B2" s="686" t="s">
        <v>418</v>
      </c>
      <c r="C2" s="686" t="s">
        <v>419</v>
      </c>
      <c r="D2" s="686" t="s">
        <v>420</v>
      </c>
      <c r="E2" s="686" t="s">
        <v>333</v>
      </c>
      <c r="F2" s="686" t="s">
        <v>334</v>
      </c>
      <c r="G2" s="686" t="s">
        <v>335</v>
      </c>
      <c r="H2" s="686" t="s">
        <v>336</v>
      </c>
      <c r="I2" s="686" t="s">
        <v>337</v>
      </c>
      <c r="J2" s="686" t="s">
        <v>338</v>
      </c>
      <c r="K2" s="686" t="s">
        <v>339</v>
      </c>
      <c r="L2" s="686" t="s">
        <v>340</v>
      </c>
      <c r="M2" s="686" t="s">
        <v>341</v>
      </c>
      <c r="N2" s="686" t="s">
        <v>333</v>
      </c>
      <c r="O2" s="686" t="s">
        <v>334</v>
      </c>
      <c r="P2" s="686" t="s">
        <v>335</v>
      </c>
      <c r="Q2" s="686" t="s">
        <v>342</v>
      </c>
      <c r="R2" s="686" t="s">
        <v>1457</v>
      </c>
      <c r="S2" s="686" t="s">
        <v>621</v>
      </c>
      <c r="T2" s="686" t="s">
        <v>881</v>
      </c>
      <c r="U2" s="686" t="s">
        <v>882</v>
      </c>
      <c r="V2" s="686" t="s">
        <v>883</v>
      </c>
      <c r="W2" s="686" t="s">
        <v>884</v>
      </c>
      <c r="X2" s="686" t="s">
        <v>885</v>
      </c>
      <c r="Y2" s="686" t="s">
        <v>1672</v>
      </c>
      <c r="Z2" s="686" t="s">
        <v>853</v>
      </c>
      <c r="AA2" s="686" t="s">
        <v>1673</v>
      </c>
      <c r="AB2" s="686" t="s">
        <v>852</v>
      </c>
      <c r="AC2" s="686" t="s">
        <v>1472</v>
      </c>
      <c r="AD2" s="686" t="s">
        <v>1473</v>
      </c>
      <c r="AE2" s="686" t="s">
        <v>1474</v>
      </c>
      <c r="AF2" s="687" t="s">
        <v>911</v>
      </c>
      <c r="AG2" s="687" t="s">
        <v>912</v>
      </c>
      <c r="AH2" s="686" t="s">
        <v>1646</v>
      </c>
      <c r="AI2" s="687" t="s">
        <v>1647</v>
      </c>
      <c r="AJ2" s="687" t="s">
        <v>1648</v>
      </c>
      <c r="AK2" s="687" t="s">
        <v>263</v>
      </c>
      <c r="AL2" s="687" t="s">
        <v>264</v>
      </c>
      <c r="AM2" s="687" t="s">
        <v>188</v>
      </c>
      <c r="AN2" s="326"/>
      <c r="AO2" s="326"/>
      <c r="AP2" s="326"/>
      <c r="AQ2" s="326"/>
      <c r="AR2" s="326"/>
      <c r="AS2" s="275" t="s">
        <v>1573</v>
      </c>
      <c r="AT2" s="692" t="s">
        <v>2304</v>
      </c>
      <c r="AU2" s="685" t="s">
        <v>1306</v>
      </c>
      <c r="AV2" s="685" t="s">
        <v>2305</v>
      </c>
      <c r="AW2" s="328"/>
      <c r="AX2" s="275"/>
      <c r="AY2" s="692" t="s">
        <v>2304</v>
      </c>
      <c r="AZ2" s="685" t="s">
        <v>1306</v>
      </c>
      <c r="BA2" s="685" t="s">
        <v>2305</v>
      </c>
      <c r="BB2" s="327"/>
      <c r="BC2" s="275" t="s">
        <v>1573</v>
      </c>
      <c r="BD2" s="692" t="s">
        <v>2306</v>
      </c>
      <c r="BE2" s="685" t="s">
        <v>1306</v>
      </c>
      <c r="BF2" s="685" t="s">
        <v>2307</v>
      </c>
      <c r="BG2" s="328"/>
      <c r="BH2" s="275"/>
      <c r="BI2" s="692" t="s">
        <v>2306</v>
      </c>
      <c r="BJ2" s="685" t="s">
        <v>1306</v>
      </c>
      <c r="BK2" s="685" t="s">
        <v>2307</v>
      </c>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row>
    <row r="3" spans="1:125" ht="15" customHeight="1" x14ac:dyDescent="0.3">
      <c r="A3" s="50">
        <v>0</v>
      </c>
      <c r="B3" s="553">
        <v>0.45</v>
      </c>
      <c r="C3" s="553">
        <v>0</v>
      </c>
      <c r="D3" s="553">
        <v>0.45</v>
      </c>
      <c r="E3" s="553">
        <v>0.55000000000000004</v>
      </c>
      <c r="F3" s="553">
        <v>0</v>
      </c>
      <c r="G3" s="553">
        <v>0.55000000000000004</v>
      </c>
      <c r="H3" s="553">
        <v>0.45</v>
      </c>
      <c r="I3" s="553">
        <v>0</v>
      </c>
      <c r="J3" s="553">
        <v>0.45</v>
      </c>
      <c r="K3" s="588">
        <v>0.6</v>
      </c>
      <c r="L3" s="588">
        <v>0</v>
      </c>
      <c r="M3" s="588">
        <v>0.6</v>
      </c>
      <c r="N3" s="553">
        <v>0.55000000000000004</v>
      </c>
      <c r="O3" s="553">
        <v>0</v>
      </c>
      <c r="P3" s="553">
        <v>0.55000000000000004</v>
      </c>
      <c r="Q3" s="147">
        <v>0</v>
      </c>
      <c r="R3" s="520">
        <v>0</v>
      </c>
      <c r="S3" s="520">
        <v>0</v>
      </c>
      <c r="T3" s="147">
        <v>0</v>
      </c>
      <c r="U3" s="147">
        <v>0</v>
      </c>
      <c r="V3" s="588">
        <v>0.06</v>
      </c>
      <c r="W3" s="588">
        <v>0.06</v>
      </c>
      <c r="X3" s="588">
        <v>0.12</v>
      </c>
      <c r="Y3" s="588">
        <v>0.12</v>
      </c>
      <c r="Z3" s="588">
        <v>0.1</v>
      </c>
      <c r="AA3" s="588">
        <v>0.3</v>
      </c>
      <c r="AB3" s="588">
        <v>0.11</v>
      </c>
      <c r="AC3" s="588">
        <v>0.3</v>
      </c>
      <c r="AD3" s="588">
        <v>0.04</v>
      </c>
      <c r="AE3" s="147">
        <v>0.3</v>
      </c>
      <c r="AF3" s="588">
        <v>0.05</v>
      </c>
      <c r="AG3" s="588">
        <v>0.3</v>
      </c>
      <c r="AH3" s="147">
        <v>0</v>
      </c>
      <c r="AI3" s="588">
        <v>0.39</v>
      </c>
      <c r="AJ3" s="588">
        <v>0</v>
      </c>
      <c r="AK3" s="588">
        <v>0.65</v>
      </c>
      <c r="AL3" s="588">
        <v>0.13</v>
      </c>
      <c r="AM3" s="588">
        <v>0.65</v>
      </c>
      <c r="AS3" s="683" t="s">
        <v>1513</v>
      </c>
      <c r="AT3" s="585" t="str">
        <f>IF('Upper Extremity-Right'!T18="","",'Upper Extremity-Right'!T18)</f>
        <v/>
      </c>
      <c r="AU3" s="585" t="str">
        <f>IF(AT3="","",ROUND(AT3,0))</f>
        <v/>
      </c>
      <c r="AV3" s="588">
        <f>IF(AU3="",0,VLOOKUP(AU3,$A$3:$AM$153,2))</f>
        <v>0</v>
      </c>
      <c r="AX3" s="147" t="s">
        <v>1196</v>
      </c>
      <c r="AY3" s="585" t="str">
        <f>IF('Upper Extremity-Right'!V18="","",'Upper Extremity-Right'!V18)</f>
        <v/>
      </c>
      <c r="AZ3" s="585" t="str">
        <f>IF(AY3="","",ROUND(AY3,0))</f>
        <v/>
      </c>
      <c r="BA3" s="194">
        <f>IF(AZ3="",0,VLOOKUP(AZ3,$A$3:$AM$153,2))</f>
        <v>0</v>
      </c>
      <c r="BC3" s="147" t="s">
        <v>1513</v>
      </c>
      <c r="BD3" s="601" t="str">
        <f>IF('Upper Extremity-Left'!T18="","",'Upper Extremity-Left'!T18)</f>
        <v/>
      </c>
      <c r="BE3" s="585" t="str">
        <f>IF(BD3="","",ROUND(BD3,0))</f>
        <v/>
      </c>
      <c r="BF3" s="194">
        <f>IF(BE3="",0,VLOOKUP(BE3,$A$3:$AM$153,2))</f>
        <v>0</v>
      </c>
      <c r="BG3" s="62"/>
      <c r="BH3" s="147" t="s">
        <v>1196</v>
      </c>
      <c r="BI3" s="585" t="str">
        <f>IF('Upper Extremity-Left'!V18="","",'Upper Extremity-Left'!V18)</f>
        <v/>
      </c>
      <c r="BJ3" s="585" t="str">
        <f>IF(BI3="","",ROUND(BI3,0))</f>
        <v/>
      </c>
      <c r="BK3" s="194">
        <f>IF(BJ3="",0,VLOOKUP(BJ3,$A$3:$AM$153,2))</f>
        <v>0</v>
      </c>
    </row>
    <row r="4" spans="1:125" ht="15" customHeight="1" x14ac:dyDescent="0.3">
      <c r="A4" s="50">
        <v>1</v>
      </c>
      <c r="B4" s="553">
        <v>0.44400000000000001</v>
      </c>
      <c r="C4" s="553">
        <v>4.0000000000000001E-3</v>
      </c>
      <c r="D4" s="553">
        <v>0.44800000000000001</v>
      </c>
      <c r="E4" s="553">
        <v>0.54100000000000004</v>
      </c>
      <c r="F4" s="553">
        <v>3.0000000000000001E-3</v>
      </c>
      <c r="G4" s="553">
        <v>0.54400000000000004</v>
      </c>
      <c r="H4" s="553">
        <v>0.443</v>
      </c>
      <c r="I4" s="553">
        <v>3.0000000000000001E-3</v>
      </c>
      <c r="J4" s="553">
        <v>0.44600000000000001</v>
      </c>
      <c r="K4" s="588">
        <v>0.59399999999999997</v>
      </c>
      <c r="L4" s="588">
        <v>3.0000000000000001E-3</v>
      </c>
      <c r="M4" s="588">
        <v>0.59699999999999998</v>
      </c>
      <c r="N4" s="553">
        <v>0.54400000000000004</v>
      </c>
      <c r="O4" s="553">
        <v>3.0000000000000001E-3</v>
      </c>
      <c r="P4" s="553">
        <v>0.54700000000000004</v>
      </c>
      <c r="Q4" s="147">
        <v>0.01</v>
      </c>
      <c r="R4" s="520">
        <v>0.01</v>
      </c>
      <c r="S4" s="520">
        <v>0.01</v>
      </c>
      <c r="T4" s="147">
        <v>0.01</v>
      </c>
      <c r="U4" s="147">
        <v>0.01</v>
      </c>
      <c r="V4" s="588">
        <v>5.6000000000000001E-2</v>
      </c>
      <c r="W4" s="588">
        <v>5.8000000000000003E-2</v>
      </c>
      <c r="X4" s="588">
        <v>0.13</v>
      </c>
      <c r="Y4" s="588">
        <v>0.127</v>
      </c>
      <c r="Z4" s="588">
        <v>9.8000000000000004E-2</v>
      </c>
      <c r="AA4" s="588">
        <v>0.29799999999999999</v>
      </c>
      <c r="AB4" s="588">
        <v>0.109</v>
      </c>
      <c r="AC4" s="588">
        <v>0.309</v>
      </c>
      <c r="AD4" s="588">
        <v>3.7999999999999999E-2</v>
      </c>
      <c r="AE4" s="147">
        <v>0.33</v>
      </c>
      <c r="AF4" s="588">
        <v>4.9000000000000002E-2</v>
      </c>
      <c r="AG4" s="588">
        <v>0.32</v>
      </c>
      <c r="AH4" s="147">
        <v>0.01</v>
      </c>
      <c r="AI4" s="588">
        <v>0.38700000000000001</v>
      </c>
      <c r="AJ4" s="588">
        <v>2E-3</v>
      </c>
      <c r="AK4" s="588">
        <v>0.64900000000000002</v>
      </c>
      <c r="AL4" s="588">
        <v>0.128</v>
      </c>
      <c r="AM4" s="588">
        <v>0.65400000000000003</v>
      </c>
      <c r="AS4" s="683" t="s">
        <v>1514</v>
      </c>
      <c r="AT4" s="585" t="str">
        <f>IF('Upper Extremity-Right'!T19="","",'Upper Extremity-Right'!T19)</f>
        <v/>
      </c>
      <c r="AU4" s="585" t="str">
        <f t="shared" ref="AU4:AU67" si="0">IF(AT4="","",ROUND(AT4,0))</f>
        <v/>
      </c>
      <c r="AV4" s="194">
        <f>IF(AU4="",0,VLOOKUP(AU4,$A$3:$AM$153,3))</f>
        <v>0</v>
      </c>
      <c r="AX4" s="147" t="s">
        <v>1196</v>
      </c>
      <c r="AY4" s="585" t="str">
        <f>IF('Upper Extremity-Right'!V19="","",'Upper Extremity-Right'!V19)</f>
        <v/>
      </c>
      <c r="AZ4" s="585" t="str">
        <f>IF(AY4="","",ROUND(AY4,0))</f>
        <v/>
      </c>
      <c r="BA4" s="194">
        <f>IF(AZ4="",0,VLOOKUP(AZ4,$A$3:$AM$153,3))</f>
        <v>0</v>
      </c>
      <c r="BC4" s="147" t="s">
        <v>1514</v>
      </c>
      <c r="BD4" s="601" t="str">
        <f>IF('Upper Extremity-Left'!T19="","",'Upper Extremity-Left'!T19)</f>
        <v/>
      </c>
      <c r="BE4" s="585" t="str">
        <f>IF(BD4="","",ROUND(BD4,0))</f>
        <v/>
      </c>
      <c r="BF4" s="194">
        <f>IF(BE4="",0,VLOOKUP(BE4,$A$3:$AM$153,3))</f>
        <v>0</v>
      </c>
      <c r="BG4" s="62"/>
      <c r="BH4" s="147" t="s">
        <v>1196</v>
      </c>
      <c r="BI4" s="585" t="str">
        <f>IF('Upper Extremity-Left'!V19="","",'Upper Extremity-Left'!V19)</f>
        <v/>
      </c>
      <c r="BJ4" s="585" t="str">
        <f>IF(BI4="","",ROUND(BI4,0))</f>
        <v/>
      </c>
      <c r="BK4" s="194">
        <f>IF(BJ4="",0,VLOOKUP(BJ4,$A$3:$AM$153,3))</f>
        <v>0</v>
      </c>
    </row>
    <row r="5" spans="1:125" ht="15" customHeight="1" x14ac:dyDescent="0.3">
      <c r="A5" s="50">
        <v>2</v>
      </c>
      <c r="B5" s="553">
        <v>0.438</v>
      </c>
      <c r="C5" s="553">
        <v>8.0000000000000002E-3</v>
      </c>
      <c r="D5" s="553">
        <v>0.44600000000000001</v>
      </c>
      <c r="E5" s="553">
        <v>0.53200000000000003</v>
      </c>
      <c r="F5" s="553">
        <v>6.0000000000000001E-3</v>
      </c>
      <c r="G5" s="553">
        <v>0.53800000000000003</v>
      </c>
      <c r="H5" s="553">
        <v>0.436</v>
      </c>
      <c r="I5" s="553">
        <v>6.0000000000000001E-3</v>
      </c>
      <c r="J5" s="553">
        <v>0.442</v>
      </c>
      <c r="K5" s="588">
        <v>0.58799999999999997</v>
      </c>
      <c r="L5" s="588">
        <v>6.0000000000000001E-3</v>
      </c>
      <c r="M5" s="588">
        <v>0.59399999999999997</v>
      </c>
      <c r="N5" s="553">
        <v>0.53800000000000003</v>
      </c>
      <c r="O5" s="553">
        <v>6.0000000000000001E-3</v>
      </c>
      <c r="P5" s="553">
        <v>0.54400000000000004</v>
      </c>
      <c r="Q5" s="147">
        <v>0.01</v>
      </c>
      <c r="R5" s="520">
        <v>0.01</v>
      </c>
      <c r="S5" s="520">
        <v>0.01</v>
      </c>
      <c r="T5" s="147">
        <v>0.01</v>
      </c>
      <c r="U5" s="147">
        <v>0.01</v>
      </c>
      <c r="V5" s="588">
        <v>5.1999999999999998E-2</v>
      </c>
      <c r="W5" s="588">
        <v>5.6000000000000001E-2</v>
      </c>
      <c r="X5" s="588">
        <v>0.14000000000000001</v>
      </c>
      <c r="Y5" s="588">
        <v>0.13400000000000001</v>
      </c>
      <c r="Z5" s="588">
        <v>9.6000000000000002E-2</v>
      </c>
      <c r="AA5" s="588">
        <v>0.29599999999999999</v>
      </c>
      <c r="AB5" s="588">
        <v>0.108</v>
      </c>
      <c r="AC5" s="588">
        <v>0.318</v>
      </c>
      <c r="AD5" s="588">
        <v>3.5999999999999997E-2</v>
      </c>
      <c r="AE5" s="147">
        <v>0.36</v>
      </c>
      <c r="AF5" s="588">
        <v>4.8000000000000001E-2</v>
      </c>
      <c r="AG5" s="588">
        <v>0.34</v>
      </c>
      <c r="AH5" s="147">
        <v>0.02</v>
      </c>
      <c r="AI5" s="588">
        <v>0.38400000000000001</v>
      </c>
      <c r="AJ5" s="588">
        <v>4.0000000000000001E-3</v>
      </c>
      <c r="AK5" s="588">
        <v>0.64800000000000002</v>
      </c>
      <c r="AL5" s="588">
        <v>0.126</v>
      </c>
      <c r="AM5" s="588">
        <v>0.65800000000000003</v>
      </c>
      <c r="AS5" s="147" t="s">
        <v>1515</v>
      </c>
      <c r="AT5" s="585" t="str">
        <f>IF('Upper Extremity-Right'!T20="","",'Upper Extremity-Right'!T20)</f>
        <v/>
      </c>
      <c r="AU5" s="585" t="str">
        <f t="shared" si="0"/>
        <v/>
      </c>
      <c r="AV5" s="194">
        <f>IF(AU5="",0,VLOOKUP(AU5,$A$3:$AM$153,4))</f>
        <v>0</v>
      </c>
      <c r="BC5" s="147" t="s">
        <v>1515</v>
      </c>
      <c r="BD5" s="601" t="str">
        <f>IF('Upper Extremity-Left'!T20="","",'Upper Extremity-Left'!T20)</f>
        <v/>
      </c>
      <c r="BE5" s="585" t="str">
        <f>IF(BD5="","",ROUND(BD5,0))</f>
        <v/>
      </c>
      <c r="BF5" s="194">
        <f>IF(BE5="",0,VLOOKUP(BE5,$A$3:$AM$153,4))</f>
        <v>0</v>
      </c>
      <c r="BG5" s="62"/>
      <c r="BH5" s="14"/>
    </row>
    <row r="6" spans="1:125" ht="15" customHeight="1" x14ac:dyDescent="0.3">
      <c r="A6" s="50">
        <v>3</v>
      </c>
      <c r="B6" s="553">
        <v>0.432</v>
      </c>
      <c r="C6" s="553">
        <v>1.2E-2</v>
      </c>
      <c r="D6" s="553">
        <v>0.44400000000000001</v>
      </c>
      <c r="E6" s="553">
        <v>0.52300000000000002</v>
      </c>
      <c r="F6" s="553">
        <v>8.9999999999999993E-3</v>
      </c>
      <c r="G6" s="553">
        <v>0.53200000000000003</v>
      </c>
      <c r="H6" s="553">
        <v>0.42899999999999999</v>
      </c>
      <c r="I6" s="553">
        <v>8.9999999999999993E-3</v>
      </c>
      <c r="J6" s="553">
        <v>0.438</v>
      </c>
      <c r="K6" s="588">
        <v>0.58199999999999996</v>
      </c>
      <c r="L6" s="588">
        <v>8.9999999999999993E-3</v>
      </c>
      <c r="M6" s="588">
        <v>0.59099999999999997</v>
      </c>
      <c r="N6" s="553">
        <v>0.53200000000000003</v>
      </c>
      <c r="O6" s="553">
        <v>8.9999999999999993E-3</v>
      </c>
      <c r="P6" s="553">
        <v>0.54100000000000004</v>
      </c>
      <c r="Q6" s="147">
        <v>0.01</v>
      </c>
      <c r="R6" s="520">
        <v>0.01</v>
      </c>
      <c r="S6" s="520">
        <v>0.01</v>
      </c>
      <c r="T6" s="147">
        <v>0.01</v>
      </c>
      <c r="U6" s="147">
        <v>0.01</v>
      </c>
      <c r="V6" s="588">
        <v>4.8000000000000001E-2</v>
      </c>
      <c r="W6" s="588">
        <v>5.3999999999999999E-2</v>
      </c>
      <c r="X6" s="588">
        <v>0.15</v>
      </c>
      <c r="Y6" s="588">
        <v>0.14099999999999999</v>
      </c>
      <c r="Z6" s="588">
        <v>9.4E-2</v>
      </c>
      <c r="AA6" s="588">
        <v>0.29399999999999998</v>
      </c>
      <c r="AB6" s="588">
        <v>0.107</v>
      </c>
      <c r="AC6" s="588">
        <v>0.32700000000000001</v>
      </c>
      <c r="AD6" s="588">
        <v>3.4000000000000002E-2</v>
      </c>
      <c r="AE6" s="147">
        <v>0.39</v>
      </c>
      <c r="AF6" s="588">
        <v>4.7E-2</v>
      </c>
      <c r="AG6" s="588">
        <v>0.36</v>
      </c>
      <c r="AH6" s="147">
        <v>0.03</v>
      </c>
      <c r="AI6" s="588">
        <v>0.38100000000000001</v>
      </c>
      <c r="AJ6" s="588">
        <v>6.0000000000000001E-3</v>
      </c>
      <c r="AK6" s="588">
        <v>0.64700000000000002</v>
      </c>
      <c r="AL6" s="588">
        <v>0.124</v>
      </c>
      <c r="AM6" s="588">
        <v>0.66200000000000003</v>
      </c>
      <c r="BC6" s="147"/>
      <c r="BD6" s="62"/>
      <c r="BE6" s="62"/>
      <c r="BG6" s="62"/>
      <c r="BH6" s="14"/>
    </row>
    <row r="7" spans="1:125" ht="15" customHeight="1" x14ac:dyDescent="0.3">
      <c r="A7" s="50">
        <v>4</v>
      </c>
      <c r="B7" s="553">
        <v>0.42599999999999999</v>
      </c>
      <c r="C7" s="553">
        <v>1.6E-2</v>
      </c>
      <c r="D7" s="553">
        <v>0.442</v>
      </c>
      <c r="E7" s="553">
        <v>0.51400000000000001</v>
      </c>
      <c r="F7" s="553">
        <v>1.2E-2</v>
      </c>
      <c r="G7" s="553">
        <v>0.52600000000000002</v>
      </c>
      <c r="H7" s="553">
        <v>0.42199999999999999</v>
      </c>
      <c r="I7" s="553">
        <v>1.2E-2</v>
      </c>
      <c r="J7" s="553">
        <v>0.434</v>
      </c>
      <c r="K7" s="588">
        <v>0.57599999999999996</v>
      </c>
      <c r="L7" s="588">
        <v>1.2E-2</v>
      </c>
      <c r="M7" s="588">
        <v>0.58799999999999997</v>
      </c>
      <c r="N7" s="553">
        <v>0.52600000000000002</v>
      </c>
      <c r="O7" s="553">
        <v>1.2E-2</v>
      </c>
      <c r="P7" s="553">
        <v>0.53800000000000003</v>
      </c>
      <c r="Q7" s="147">
        <v>0.02</v>
      </c>
      <c r="R7" s="520">
        <v>0.01</v>
      </c>
      <c r="S7" s="520">
        <v>0.01</v>
      </c>
      <c r="T7" s="147">
        <v>0.01</v>
      </c>
      <c r="U7" s="147">
        <v>0.01</v>
      </c>
      <c r="V7" s="588">
        <v>4.3999999999999997E-2</v>
      </c>
      <c r="W7" s="588">
        <v>5.1999999999999998E-2</v>
      </c>
      <c r="X7" s="688">
        <v>0.16</v>
      </c>
      <c r="Y7" s="588">
        <v>0.14799999999999999</v>
      </c>
      <c r="Z7" s="588">
        <v>9.1999999999999998E-2</v>
      </c>
      <c r="AA7" s="588">
        <v>0.29199999999999998</v>
      </c>
      <c r="AB7" s="588">
        <v>0.106</v>
      </c>
      <c r="AC7" s="588">
        <v>0.33600000000000002</v>
      </c>
      <c r="AD7" s="588">
        <v>3.2000000000000001E-2</v>
      </c>
      <c r="AE7" s="147">
        <v>0.42</v>
      </c>
      <c r="AF7" s="588">
        <v>4.5999999999999999E-2</v>
      </c>
      <c r="AG7" s="588">
        <v>0.38</v>
      </c>
      <c r="AH7" s="147">
        <v>0.04</v>
      </c>
      <c r="AI7" s="588">
        <v>0.378</v>
      </c>
      <c r="AJ7" s="588">
        <v>8.0000000000000002E-3</v>
      </c>
      <c r="AK7" s="588">
        <v>0.64600000000000002</v>
      </c>
      <c r="AL7" s="588">
        <v>0.122</v>
      </c>
      <c r="AM7" s="588">
        <v>0.66600000000000004</v>
      </c>
      <c r="AS7" s="147" t="s">
        <v>1516</v>
      </c>
      <c r="AT7" s="585" t="str">
        <f>IF('Upper Extremity-Right'!T23="","",'Upper Extremity-Right'!T23)</f>
        <v/>
      </c>
      <c r="AU7" s="585" t="str">
        <f t="shared" si="0"/>
        <v/>
      </c>
      <c r="AV7" s="194">
        <f>IF(AU7="",0,VLOOKUP(AU7,$A$3:$AM$153,5))</f>
        <v>0</v>
      </c>
      <c r="AX7" s="147" t="s">
        <v>1421</v>
      </c>
      <c r="AY7" s="585" t="str">
        <f>IF('Upper Extremity-Right'!V23="","",'Upper Extremity-Right'!V23)</f>
        <v/>
      </c>
      <c r="AZ7" s="585" t="str">
        <f>IF(AY7="","",ROUND(AY7,0))</f>
        <v/>
      </c>
      <c r="BA7" s="194">
        <f>IF(AZ7="",0,VLOOKUP(AZ7,$A$3:$AM$153,5))</f>
        <v>0</v>
      </c>
      <c r="BC7" s="147" t="s">
        <v>1516</v>
      </c>
      <c r="BD7" s="601" t="str">
        <f>IF('Upper Extremity-Left'!T23="","",'Upper Extremity-Left'!T23)</f>
        <v/>
      </c>
      <c r="BE7" s="585" t="str">
        <f>IF(BD7="","",ROUND(BD7,0))</f>
        <v/>
      </c>
      <c r="BF7" s="194">
        <f>IF(BE7="",0,VLOOKUP(BE7,$A$3:$AM$153,5))</f>
        <v>0</v>
      </c>
      <c r="BG7" s="62"/>
      <c r="BH7" s="147" t="s">
        <v>1421</v>
      </c>
      <c r="BI7" s="585" t="str">
        <f>IF('Upper Extremity-Left'!V23="","",'Upper Extremity-Left'!V23)</f>
        <v/>
      </c>
      <c r="BJ7" s="585" t="str">
        <f>IF(BI7="","",ROUND(BI7,0))</f>
        <v/>
      </c>
      <c r="BK7" s="194">
        <f>IF(BJ7="",0,VLOOKUP(BJ7,$A$3:$AM$153,5))</f>
        <v>0</v>
      </c>
    </row>
    <row r="8" spans="1:125" ht="15" customHeight="1" x14ac:dyDescent="0.3">
      <c r="A8" s="50">
        <v>5</v>
      </c>
      <c r="B8" s="553">
        <v>0.42</v>
      </c>
      <c r="C8" s="553">
        <v>0.02</v>
      </c>
      <c r="D8" s="553">
        <v>0.44</v>
      </c>
      <c r="E8" s="553">
        <v>0.505</v>
      </c>
      <c r="F8" s="553">
        <v>1.4999999999999999E-2</v>
      </c>
      <c r="G8" s="553">
        <v>0.52</v>
      </c>
      <c r="H8" s="553">
        <v>0.41499999999999998</v>
      </c>
      <c r="I8" s="553">
        <v>1.4999999999999999E-2</v>
      </c>
      <c r="J8" s="553">
        <v>0.43</v>
      </c>
      <c r="K8" s="588">
        <v>0.56999999999999995</v>
      </c>
      <c r="L8" s="588">
        <v>1.4999999999999999E-2</v>
      </c>
      <c r="M8" s="588">
        <v>0.58499999999999996</v>
      </c>
      <c r="N8" s="553">
        <v>0.52</v>
      </c>
      <c r="O8" s="553">
        <v>1.4999999999999999E-2</v>
      </c>
      <c r="P8" s="553">
        <v>0.53500000000000003</v>
      </c>
      <c r="Q8" s="147">
        <v>0.02</v>
      </c>
      <c r="R8" s="520">
        <v>0.01</v>
      </c>
      <c r="S8" s="520">
        <v>0.01</v>
      </c>
      <c r="T8" s="147">
        <v>0.01</v>
      </c>
      <c r="U8" s="147">
        <v>0.01</v>
      </c>
      <c r="V8" s="588">
        <v>0.04</v>
      </c>
      <c r="W8" s="588">
        <v>0.05</v>
      </c>
      <c r="X8" s="688">
        <v>0.17</v>
      </c>
      <c r="Y8" s="588">
        <v>0.155</v>
      </c>
      <c r="Z8" s="588">
        <v>0.09</v>
      </c>
      <c r="AA8" s="588">
        <v>0.28999999999999998</v>
      </c>
      <c r="AB8" s="588">
        <v>0.105</v>
      </c>
      <c r="AC8" s="588">
        <v>0.34499999999999997</v>
      </c>
      <c r="AD8" s="688">
        <v>0.03</v>
      </c>
      <c r="AE8" s="689">
        <v>0.45</v>
      </c>
      <c r="AF8" s="588">
        <v>4.4999999999999998E-2</v>
      </c>
      <c r="AG8" s="588">
        <v>0.4</v>
      </c>
      <c r="AH8" s="147">
        <v>0.04</v>
      </c>
      <c r="AI8" s="588">
        <v>0.375</v>
      </c>
      <c r="AJ8" s="588">
        <v>0.01</v>
      </c>
      <c r="AK8" s="588">
        <v>0.64500000000000002</v>
      </c>
      <c r="AL8" s="588">
        <v>0.12</v>
      </c>
      <c r="AM8" s="588">
        <v>0.67</v>
      </c>
      <c r="AS8" s="147" t="s">
        <v>1517</v>
      </c>
      <c r="AT8" s="585" t="str">
        <f>IF('Upper Extremity-Right'!T24="","",'Upper Extremity-Right'!T24)</f>
        <v/>
      </c>
      <c r="AU8" s="585" t="str">
        <f t="shared" si="0"/>
        <v/>
      </c>
      <c r="AV8" s="194">
        <f>IF(AU8="",0,VLOOKUP(AU8,$A$3:$AM$153,6))</f>
        <v>0</v>
      </c>
      <c r="AX8" s="147" t="s">
        <v>1421</v>
      </c>
      <c r="AY8" s="585" t="str">
        <f>IF('Upper Extremity-Right'!V24="","",'Upper Extremity-Right'!V24)</f>
        <v/>
      </c>
      <c r="AZ8" s="585" t="str">
        <f>IF(AY8="","",ROUND(AY8,0))</f>
        <v/>
      </c>
      <c r="BA8" s="194">
        <f>IF(AZ8="",0,VLOOKUP(AZ8,$A$3:$AM$153,6))</f>
        <v>0</v>
      </c>
      <c r="BC8" s="147" t="s">
        <v>1517</v>
      </c>
      <c r="BD8" s="601" t="str">
        <f>IF('Upper Extremity-Left'!T24="","",'Upper Extremity-Left'!T24)</f>
        <v/>
      </c>
      <c r="BE8" s="585" t="str">
        <f>IF(BD8="","",ROUND(BD8,0))</f>
        <v/>
      </c>
      <c r="BF8" s="194">
        <f>IF(BE8="",0,VLOOKUP(BE8,$A$3:$AM$153,6))</f>
        <v>0</v>
      </c>
      <c r="BG8" s="62"/>
      <c r="BH8" s="147" t="s">
        <v>1421</v>
      </c>
      <c r="BI8" s="585" t="str">
        <f>IF('Upper Extremity-Left'!V24="","",'Upper Extremity-Left'!V24)</f>
        <v/>
      </c>
      <c r="BJ8" s="585" t="str">
        <f>IF(BI8="","",ROUND(BI8,0))</f>
        <v/>
      </c>
      <c r="BK8" s="194">
        <f>IF(BJ8="",0,VLOOKUP(BJ8,$A$3:$AM$153,6))</f>
        <v>0</v>
      </c>
    </row>
    <row r="9" spans="1:125" ht="15" customHeight="1" x14ac:dyDescent="0.3">
      <c r="A9" s="50">
        <v>6</v>
      </c>
      <c r="B9" s="553">
        <v>0.41399999999999998</v>
      </c>
      <c r="C9" s="553">
        <v>2.4E-2</v>
      </c>
      <c r="D9" s="553">
        <v>0.438</v>
      </c>
      <c r="E9" s="553">
        <v>0.496</v>
      </c>
      <c r="F9" s="553">
        <v>1.7999999999999999E-2</v>
      </c>
      <c r="G9" s="553">
        <v>0.51400000000000001</v>
      </c>
      <c r="H9" s="553">
        <v>0.40799999999999997</v>
      </c>
      <c r="I9" s="553">
        <v>1.7999999999999999E-2</v>
      </c>
      <c r="J9" s="553">
        <v>0.42599999999999999</v>
      </c>
      <c r="K9" s="588">
        <v>0.56399999999999995</v>
      </c>
      <c r="L9" s="588">
        <v>1.7999999999999999E-2</v>
      </c>
      <c r="M9" s="588">
        <v>0.58199999999999996</v>
      </c>
      <c r="N9" s="553">
        <v>0.51400000000000001</v>
      </c>
      <c r="O9" s="553">
        <v>1.7999999999999999E-2</v>
      </c>
      <c r="P9" s="553">
        <v>0.53200000000000003</v>
      </c>
      <c r="Q9" s="147">
        <v>0.02</v>
      </c>
      <c r="R9" s="520">
        <v>0.01</v>
      </c>
      <c r="S9" s="520">
        <v>0.01</v>
      </c>
      <c r="T9" s="147">
        <v>0.01</v>
      </c>
      <c r="U9" s="147">
        <v>0.01</v>
      </c>
      <c r="V9" s="588">
        <v>3.5999999999999997E-2</v>
      </c>
      <c r="W9" s="688">
        <v>4.8000000000000001E-2</v>
      </c>
      <c r="X9" s="688">
        <v>0.18</v>
      </c>
      <c r="Y9" s="688">
        <v>0.16200000000000001</v>
      </c>
      <c r="Z9" s="588">
        <v>8.7999999999999995E-2</v>
      </c>
      <c r="AA9" s="588">
        <v>0.28799999999999998</v>
      </c>
      <c r="AB9" s="588">
        <v>0.104</v>
      </c>
      <c r="AC9" s="588">
        <v>0.35399999999999998</v>
      </c>
      <c r="AD9" s="588">
        <v>2.8000000000000001E-2</v>
      </c>
      <c r="AE9" s="147">
        <v>0.48</v>
      </c>
      <c r="AF9" s="688">
        <v>4.3999999999999997E-2</v>
      </c>
      <c r="AG9" s="588">
        <v>0.42</v>
      </c>
      <c r="AH9" s="147">
        <v>0.05</v>
      </c>
      <c r="AI9" s="588">
        <v>0.372</v>
      </c>
      <c r="AJ9" s="588">
        <v>1.2E-2</v>
      </c>
      <c r="AK9" s="588">
        <v>0.64400000000000002</v>
      </c>
      <c r="AL9" s="588">
        <v>0.11799999999999999</v>
      </c>
      <c r="AM9" s="588">
        <v>0.67400000000000004</v>
      </c>
      <c r="AS9" s="147" t="s">
        <v>1518</v>
      </c>
      <c r="AT9" s="585" t="str">
        <f>IF('Upper Extremity-Right'!T25="","",'Upper Extremity-Right'!T25)</f>
        <v/>
      </c>
      <c r="AU9" s="585" t="str">
        <f t="shared" si="0"/>
        <v/>
      </c>
      <c r="AV9" s="194">
        <f>IF(AU9="",0,VLOOKUP(AU9,$A$3:$AM$153,7))</f>
        <v>0</v>
      </c>
      <c r="BC9" s="147" t="s">
        <v>1518</v>
      </c>
      <c r="BD9" s="601" t="str">
        <f>IF('Upper Extremity-Left'!T25="","",'Upper Extremity-Left'!T25)</f>
        <v/>
      </c>
      <c r="BE9" s="585" t="str">
        <f>IF(BD9="","",ROUND(BD9,0))</f>
        <v/>
      </c>
      <c r="BF9" s="194">
        <f>IF(BE9="",0,VLOOKUP(BE9,$A$3:$AM$153,7))</f>
        <v>0</v>
      </c>
      <c r="BG9" s="62"/>
      <c r="BH9" s="14"/>
    </row>
    <row r="10" spans="1:125" ht="15" customHeight="1" x14ac:dyDescent="0.3">
      <c r="A10" s="50">
        <v>7</v>
      </c>
      <c r="B10" s="553">
        <v>0.40799999999999997</v>
      </c>
      <c r="C10" s="553">
        <v>2.8000000000000001E-2</v>
      </c>
      <c r="D10" s="553">
        <v>0.436</v>
      </c>
      <c r="E10" s="553">
        <v>0.48699999999999999</v>
      </c>
      <c r="F10" s="553">
        <v>2.1000000000000001E-2</v>
      </c>
      <c r="G10" s="553">
        <v>0.50800000000000001</v>
      </c>
      <c r="H10" s="553">
        <v>0.40100000000000002</v>
      </c>
      <c r="I10" s="553">
        <v>2.1000000000000001E-2</v>
      </c>
      <c r="J10" s="553">
        <v>0.42199999999999999</v>
      </c>
      <c r="K10" s="588">
        <v>0.55800000000000005</v>
      </c>
      <c r="L10" s="588">
        <v>2.1000000000000001E-2</v>
      </c>
      <c r="M10" s="588">
        <v>0.57899999999999996</v>
      </c>
      <c r="N10" s="553">
        <v>0.50800000000000001</v>
      </c>
      <c r="O10" s="553">
        <v>2.1000000000000001E-2</v>
      </c>
      <c r="P10" s="553">
        <v>0.52900000000000003</v>
      </c>
      <c r="Q10" s="147">
        <v>0.03</v>
      </c>
      <c r="R10" s="520">
        <v>0.02</v>
      </c>
      <c r="S10" s="520">
        <v>0.02</v>
      </c>
      <c r="T10" s="147">
        <v>0.01</v>
      </c>
      <c r="U10" s="147">
        <v>0.01</v>
      </c>
      <c r="V10" s="588">
        <v>3.2000000000000001E-2</v>
      </c>
      <c r="W10" s="588">
        <v>4.5999999999999999E-2</v>
      </c>
      <c r="X10" s="588">
        <v>0.19</v>
      </c>
      <c r="Y10" s="588">
        <v>0.16900000000000001</v>
      </c>
      <c r="Z10" s="588">
        <v>8.5999999999999993E-2</v>
      </c>
      <c r="AA10" s="588">
        <v>0.28599999999999998</v>
      </c>
      <c r="AB10" s="588">
        <v>0.10299999999999999</v>
      </c>
      <c r="AC10" s="588">
        <v>0.36299999999999999</v>
      </c>
      <c r="AD10" s="588">
        <v>2.5999999999999999E-2</v>
      </c>
      <c r="AE10" s="147">
        <v>0.51</v>
      </c>
      <c r="AF10" s="588">
        <v>4.2999999999999997E-2</v>
      </c>
      <c r="AG10" s="588">
        <v>0.44</v>
      </c>
      <c r="AH10" s="147">
        <v>0.06</v>
      </c>
      <c r="AI10" s="588">
        <v>0.36899999999999999</v>
      </c>
      <c r="AJ10" s="588">
        <v>1.4E-2</v>
      </c>
      <c r="AK10" s="588">
        <v>0.64300000000000002</v>
      </c>
      <c r="AL10" s="588">
        <v>0.11600000000000001</v>
      </c>
      <c r="AM10" s="588">
        <v>0.67800000000000005</v>
      </c>
      <c r="BD10" s="62"/>
      <c r="BE10" s="62"/>
      <c r="BG10" s="62"/>
      <c r="BH10" s="14"/>
    </row>
    <row r="11" spans="1:125" ht="15" customHeight="1" x14ac:dyDescent="0.3">
      <c r="A11" s="50">
        <v>8</v>
      </c>
      <c r="B11" s="553">
        <v>0.40200000000000002</v>
      </c>
      <c r="C11" s="553">
        <v>3.2000000000000001E-2</v>
      </c>
      <c r="D11" s="553">
        <v>0.434</v>
      </c>
      <c r="E11" s="553">
        <v>0.47799999999999998</v>
      </c>
      <c r="F11" s="553">
        <v>2.4E-2</v>
      </c>
      <c r="G11" s="553">
        <v>0.502</v>
      </c>
      <c r="H11" s="553">
        <v>0.39400000000000002</v>
      </c>
      <c r="I11" s="553">
        <v>2.4E-2</v>
      </c>
      <c r="J11" s="553">
        <v>0.41799999999999998</v>
      </c>
      <c r="K11" s="588">
        <v>0.55200000000000005</v>
      </c>
      <c r="L11" s="588">
        <v>2.4E-2</v>
      </c>
      <c r="M11" s="588">
        <v>0.57599999999999996</v>
      </c>
      <c r="N11" s="553">
        <v>0.502</v>
      </c>
      <c r="O11" s="553">
        <v>2.4E-2</v>
      </c>
      <c r="P11" s="553">
        <v>0.52600000000000002</v>
      </c>
      <c r="Q11" s="147">
        <v>0.03</v>
      </c>
      <c r="R11" s="520">
        <v>0.02</v>
      </c>
      <c r="S11" s="275">
        <v>0.02</v>
      </c>
      <c r="T11" s="147">
        <v>0.01</v>
      </c>
      <c r="U11" s="147">
        <v>0.01</v>
      </c>
      <c r="V11" s="588">
        <v>2.8000000000000001E-2</v>
      </c>
      <c r="W11" s="588">
        <v>4.3999999999999997E-2</v>
      </c>
      <c r="X11" s="588">
        <v>0.2</v>
      </c>
      <c r="Y11" s="588">
        <v>0.17599999999999999</v>
      </c>
      <c r="Z11" s="588">
        <v>8.4000000000000005E-2</v>
      </c>
      <c r="AA11" s="588">
        <v>0.28399999999999997</v>
      </c>
      <c r="AB11" s="588">
        <v>0.10199999999999999</v>
      </c>
      <c r="AC11" s="588">
        <v>0.372</v>
      </c>
      <c r="AD11" s="588">
        <v>2.4E-2</v>
      </c>
      <c r="AE11" s="147">
        <v>0.54</v>
      </c>
      <c r="AF11" s="588">
        <v>4.2000000000000003E-2</v>
      </c>
      <c r="AG11" s="588">
        <v>0.46</v>
      </c>
      <c r="AH11" s="147">
        <v>7.0000000000000007E-2</v>
      </c>
      <c r="AI11" s="588">
        <v>0.36599999999999999</v>
      </c>
      <c r="AJ11" s="588">
        <v>1.6E-2</v>
      </c>
      <c r="AK11" s="588">
        <v>0.64200000000000002</v>
      </c>
      <c r="AL11" s="588">
        <v>0.114</v>
      </c>
      <c r="AM11" s="588">
        <v>0.68200000000000005</v>
      </c>
      <c r="AS11" s="147" t="s">
        <v>146</v>
      </c>
      <c r="BC11" s="147" t="s">
        <v>146</v>
      </c>
      <c r="BD11" s="62"/>
      <c r="BE11" s="62"/>
      <c r="BG11" s="62"/>
      <c r="BH11" s="14"/>
    </row>
    <row r="12" spans="1:125" ht="15" customHeight="1" x14ac:dyDescent="0.3">
      <c r="A12" s="50">
        <v>9</v>
      </c>
      <c r="B12" s="553">
        <v>0.39600000000000002</v>
      </c>
      <c r="C12" s="553">
        <v>3.5999999999999997E-2</v>
      </c>
      <c r="D12" s="553">
        <v>0.432</v>
      </c>
      <c r="E12" s="553">
        <v>0.46899999999999997</v>
      </c>
      <c r="F12" s="553">
        <v>2.7E-2</v>
      </c>
      <c r="G12" s="553">
        <v>0.496</v>
      </c>
      <c r="H12" s="553">
        <v>0.38700000000000001</v>
      </c>
      <c r="I12" s="553">
        <v>2.7E-2</v>
      </c>
      <c r="J12" s="553">
        <v>0.41399999999999998</v>
      </c>
      <c r="K12" s="588">
        <v>0.54600000000000004</v>
      </c>
      <c r="L12" s="588">
        <v>2.7E-2</v>
      </c>
      <c r="M12" s="588">
        <v>0.57299999999999995</v>
      </c>
      <c r="N12" s="553">
        <v>0.496</v>
      </c>
      <c r="O12" s="553">
        <v>2.7E-2</v>
      </c>
      <c r="P12" s="553">
        <v>0.52300000000000002</v>
      </c>
      <c r="Q12" s="147">
        <v>0.03</v>
      </c>
      <c r="R12" s="520">
        <v>0.02</v>
      </c>
      <c r="S12" s="275">
        <v>0.02</v>
      </c>
      <c r="T12" s="147">
        <v>0.01</v>
      </c>
      <c r="U12" s="147">
        <v>0.01</v>
      </c>
      <c r="V12" s="588">
        <v>2.4E-2</v>
      </c>
      <c r="W12" s="588">
        <v>4.2000000000000003E-2</v>
      </c>
      <c r="X12" s="588">
        <v>0.21</v>
      </c>
      <c r="Y12" s="588">
        <v>0.183</v>
      </c>
      <c r="Z12" s="588">
        <v>8.2000000000000003E-2</v>
      </c>
      <c r="AA12" s="588">
        <v>0.28199999999999997</v>
      </c>
      <c r="AB12" s="588">
        <v>0.10100000000000001</v>
      </c>
      <c r="AC12" s="588">
        <v>0.38100000000000001</v>
      </c>
      <c r="AD12" s="588">
        <v>2.1999999999999999E-2</v>
      </c>
      <c r="AE12" s="147">
        <v>0.56999999999999995</v>
      </c>
      <c r="AF12" s="588">
        <v>4.1000000000000002E-2</v>
      </c>
      <c r="AG12" s="588">
        <v>0.48</v>
      </c>
      <c r="AH12" s="147">
        <v>0.08</v>
      </c>
      <c r="AI12" s="588">
        <v>0.36299999999999999</v>
      </c>
      <c r="AJ12" s="588">
        <v>1.7999999999999999E-2</v>
      </c>
      <c r="AK12" s="588">
        <v>0.64100000000000001</v>
      </c>
      <c r="AL12" s="588">
        <v>0.112</v>
      </c>
      <c r="AM12" s="588">
        <v>0.68600000000000005</v>
      </c>
      <c r="AS12" s="147" t="s">
        <v>1519</v>
      </c>
      <c r="AT12" s="585" t="str">
        <f>IF('Upper Extremity-Right'!T91="","",'Upper Extremity-Right'!T91)</f>
        <v/>
      </c>
      <c r="AU12" s="585" t="str">
        <f t="shared" si="0"/>
        <v/>
      </c>
      <c r="AV12" s="194">
        <f>IF(AU12="",0,VLOOKUP(AU12,$A$3:$AM$153,8))</f>
        <v>0</v>
      </c>
      <c r="AX12" s="147" t="s">
        <v>163</v>
      </c>
      <c r="AY12" s="585" t="str">
        <f>IF('Upper Extremity-Right'!V91="","",'Upper Extremity-Right'!V91)</f>
        <v/>
      </c>
      <c r="AZ12" s="585" t="str">
        <f>IF(AY12="","",ROUND(AY12,0))</f>
        <v/>
      </c>
      <c r="BA12" s="194">
        <f>IF(AZ12="",0,VLOOKUP(AZ12,$A$3:$AM$153,8))</f>
        <v>0</v>
      </c>
      <c r="BC12" s="147" t="s">
        <v>1519</v>
      </c>
      <c r="BD12" s="601" t="str">
        <f>IF('Upper Extremity-Left'!T91="","",'Upper Extremity-Left'!T91)</f>
        <v/>
      </c>
      <c r="BE12" s="585" t="str">
        <f>IF(BD12="","",ROUND(BD12,0))</f>
        <v/>
      </c>
      <c r="BF12" s="194">
        <f>IF(BE12="",0,VLOOKUP(BE12,$A$3:$AM$153,8))</f>
        <v>0</v>
      </c>
      <c r="BG12" s="62"/>
      <c r="BH12" s="147" t="s">
        <v>163</v>
      </c>
      <c r="BI12" s="585" t="str">
        <f>IF('Upper Extremity-Left'!V91="","",'Upper Extremity-Left'!V91)</f>
        <v/>
      </c>
      <c r="BJ12" s="585" t="str">
        <f>IF(BI12="","",ROUND(BI12,0))</f>
        <v/>
      </c>
      <c r="BK12" s="194">
        <f>IF(BJ12="",0,VLOOKUP(BJ12,$A$3:$AM$153,8))</f>
        <v>0</v>
      </c>
    </row>
    <row r="13" spans="1:125" ht="15" customHeight="1" x14ac:dyDescent="0.3">
      <c r="A13" s="50">
        <v>10</v>
      </c>
      <c r="B13" s="553">
        <v>0.39</v>
      </c>
      <c r="C13" s="553">
        <v>0.04</v>
      </c>
      <c r="D13" s="553">
        <v>0.43</v>
      </c>
      <c r="E13" s="553">
        <v>0.46</v>
      </c>
      <c r="F13" s="553">
        <v>0.03</v>
      </c>
      <c r="G13" s="553">
        <v>0.49</v>
      </c>
      <c r="H13" s="553">
        <v>0.38</v>
      </c>
      <c r="I13" s="553">
        <v>0.03</v>
      </c>
      <c r="J13" s="553">
        <v>0.41</v>
      </c>
      <c r="K13" s="588">
        <v>0.54</v>
      </c>
      <c r="L13" s="588">
        <f xml:space="preserve"> 3%</f>
        <v>0.03</v>
      </c>
      <c r="M13" s="588">
        <f xml:space="preserve"> 57%</f>
        <v>0.56999999999999995</v>
      </c>
      <c r="N13" s="553">
        <v>0.49</v>
      </c>
      <c r="O13" s="553">
        <v>0.03</v>
      </c>
      <c r="P13" s="553">
        <v>0.52</v>
      </c>
      <c r="Q13" s="147">
        <v>0.04</v>
      </c>
      <c r="R13" s="520">
        <v>0.02</v>
      </c>
      <c r="S13" s="275">
        <v>0.02</v>
      </c>
      <c r="T13" s="147">
        <v>0.01</v>
      </c>
      <c r="U13" s="147">
        <v>0.01</v>
      </c>
      <c r="V13" s="588">
        <v>0.02</v>
      </c>
      <c r="W13" s="588">
        <v>0.04</v>
      </c>
      <c r="X13" s="588">
        <v>0.22</v>
      </c>
      <c r="Y13" s="588">
        <v>0.19</v>
      </c>
      <c r="Z13" s="588">
        <v>0.08</v>
      </c>
      <c r="AA13" s="588">
        <v>0.28000000000000003</v>
      </c>
      <c r="AB13" s="588">
        <v>0.1</v>
      </c>
      <c r="AC13" s="588">
        <v>0.39</v>
      </c>
      <c r="AD13" s="588">
        <v>0.02</v>
      </c>
      <c r="AE13" s="147">
        <v>0.6</v>
      </c>
      <c r="AF13" s="588">
        <v>0.04</v>
      </c>
      <c r="AG13" s="588">
        <v>0.5</v>
      </c>
      <c r="AH13" s="147">
        <v>0.08</v>
      </c>
      <c r="AI13" s="588">
        <v>0.36</v>
      </c>
      <c r="AJ13" s="588">
        <v>0.02</v>
      </c>
      <c r="AK13" s="588">
        <v>0.64</v>
      </c>
      <c r="AL13" s="588">
        <v>0.11</v>
      </c>
      <c r="AM13" s="588">
        <v>0.69</v>
      </c>
      <c r="AS13" s="147" t="s">
        <v>164</v>
      </c>
      <c r="AT13" s="585" t="str">
        <f>IF('Upper Extremity-Right'!T92="","",'Upper Extremity-Right'!T92)</f>
        <v/>
      </c>
      <c r="AU13" s="585" t="str">
        <f t="shared" si="0"/>
        <v/>
      </c>
      <c r="AV13" s="194">
        <f>IF(AU13="",0,VLOOKUP(AU13,$A$3:$AM$153,9))</f>
        <v>0</v>
      </c>
      <c r="AX13" s="147" t="s">
        <v>163</v>
      </c>
      <c r="AY13" s="585" t="str">
        <f>IF('Upper Extremity-Right'!V92="","",'Upper Extremity-Right'!V92)</f>
        <v/>
      </c>
      <c r="AZ13" s="585" t="str">
        <f>IF(AY13="","",ROUND(AY13,0))</f>
        <v/>
      </c>
      <c r="BA13" s="194">
        <f>IF(AZ13="",0,VLOOKUP(AZ13,$A$3:$AM$153,9))</f>
        <v>0</v>
      </c>
      <c r="BC13" s="147" t="s">
        <v>164</v>
      </c>
      <c r="BD13" s="601" t="str">
        <f>IF('Upper Extremity-Left'!T92="","",'Upper Extremity-Left'!T92)</f>
        <v/>
      </c>
      <c r="BE13" s="585" t="str">
        <f>IF(BD13="","",ROUND(BD13,0))</f>
        <v/>
      </c>
      <c r="BF13" s="194">
        <f>IF(BE13="",0,VLOOKUP(BE13,$A$3:$AM$153,9))</f>
        <v>0</v>
      </c>
      <c r="BG13" s="62"/>
      <c r="BH13" s="147" t="s">
        <v>163</v>
      </c>
      <c r="BI13" s="585" t="str">
        <f>IF('Upper Extremity-Left'!V92="","",'Upper Extremity-Left'!V92)</f>
        <v/>
      </c>
      <c r="BJ13" s="585" t="str">
        <f>IF(BI13="","",ROUND(BI13,0))</f>
        <v/>
      </c>
      <c r="BK13" s="194">
        <f>IF(BJ13="",0,VLOOKUP(BJ13,$A$3:$AM$153,9))</f>
        <v>0</v>
      </c>
    </row>
    <row r="14" spans="1:125" ht="15" customHeight="1" x14ac:dyDescent="0.3">
      <c r="A14" s="50">
        <v>11</v>
      </c>
      <c r="B14" s="553">
        <v>0.38500000000000001</v>
      </c>
      <c r="C14" s="553">
        <v>4.2000000000000003E-2</v>
      </c>
      <c r="D14" s="553">
        <v>0.42699999999999999</v>
      </c>
      <c r="E14" s="553">
        <v>0.45100000000000001</v>
      </c>
      <c r="F14" s="553">
        <v>3.3000000000000002E-2</v>
      </c>
      <c r="G14" s="553">
        <v>0.48399999999999999</v>
      </c>
      <c r="H14" s="553">
        <v>0.374</v>
      </c>
      <c r="I14" s="553">
        <v>3.3000000000000002E-2</v>
      </c>
      <c r="J14" s="553">
        <v>0.40699999999999997</v>
      </c>
      <c r="K14" s="588">
        <v>0.53400000000000003</v>
      </c>
      <c r="L14" s="588">
        <f xml:space="preserve"> 3.4%</f>
        <v>3.4000000000000002E-2</v>
      </c>
      <c r="M14" s="588">
        <f xml:space="preserve"> 56.8%</f>
        <v>0.56799999999999995</v>
      </c>
      <c r="N14" s="553">
        <v>0.48399999999999999</v>
      </c>
      <c r="O14" s="553">
        <v>3.2000000000000001E-2</v>
      </c>
      <c r="P14" s="553">
        <v>0.51600000000000001</v>
      </c>
      <c r="Q14" s="147">
        <v>0.04</v>
      </c>
      <c r="R14" s="520">
        <v>0.02</v>
      </c>
      <c r="S14" s="275">
        <v>0.02</v>
      </c>
      <c r="T14" s="147">
        <v>0.01</v>
      </c>
      <c r="U14" s="147">
        <v>0.01</v>
      </c>
      <c r="V14" s="588">
        <v>1.6E-2</v>
      </c>
      <c r="W14" s="588">
        <v>3.7999999999999999E-2</v>
      </c>
      <c r="X14" s="588">
        <v>0.24</v>
      </c>
      <c r="Y14" s="588">
        <v>0.19600000000000001</v>
      </c>
      <c r="Z14" s="588">
        <v>7.8E-2</v>
      </c>
      <c r="AA14" s="588">
        <v>0.27900000000000003</v>
      </c>
      <c r="AB14" s="588">
        <v>9.8000000000000004E-2</v>
      </c>
      <c r="AC14" s="588">
        <v>0.39800000000000002</v>
      </c>
      <c r="AD14" s="588">
        <v>1.7999999999999999E-2</v>
      </c>
      <c r="AE14" s="147">
        <v>0.63</v>
      </c>
      <c r="AF14" s="588">
        <v>3.7999999999999999E-2</v>
      </c>
      <c r="AG14" s="588">
        <v>0.52</v>
      </c>
      <c r="AH14" s="147">
        <v>0.09</v>
      </c>
      <c r="AI14" s="588">
        <v>0.35799999999999998</v>
      </c>
      <c r="AJ14" s="588">
        <v>2.1999999999999999E-2</v>
      </c>
      <c r="AK14" s="588">
        <v>0.63800000000000001</v>
      </c>
      <c r="AL14" s="588">
        <v>0.109</v>
      </c>
      <c r="AM14" s="588">
        <v>0.69399999999999995</v>
      </c>
      <c r="AS14" s="147" t="s">
        <v>165</v>
      </c>
      <c r="AT14" s="585" t="str">
        <f>IF('Upper Extremity-Right'!T93="","",'Upper Extremity-Right'!T93)</f>
        <v/>
      </c>
      <c r="AU14" s="585" t="str">
        <f t="shared" si="0"/>
        <v/>
      </c>
      <c r="AV14" s="194">
        <f>IF(AU14="",0,VLOOKUP(AU14,$A$3:$AM$153,10))</f>
        <v>0</v>
      </c>
      <c r="BC14" s="147" t="s">
        <v>165</v>
      </c>
      <c r="BD14" s="601" t="str">
        <f>IF('Upper Extremity-Left'!T93="","",'Upper Extremity-Left'!T93)</f>
        <v/>
      </c>
      <c r="BE14" s="585" t="str">
        <f>IF(BD14="","",ROUND(BD14,0))</f>
        <v/>
      </c>
      <c r="BF14" s="194">
        <f>IF(BE14="",0,VLOOKUP(BE14,$A$3:$AM$153,10))</f>
        <v>0</v>
      </c>
      <c r="BG14" s="62"/>
      <c r="BH14" s="14"/>
    </row>
    <row r="15" spans="1:125" ht="15" customHeight="1" x14ac:dyDescent="0.3">
      <c r="A15" s="50">
        <v>12</v>
      </c>
      <c r="B15" s="553">
        <v>0.38</v>
      </c>
      <c r="C15" s="553">
        <v>4.3999999999999997E-2</v>
      </c>
      <c r="D15" s="553">
        <v>0.42399999999999999</v>
      </c>
      <c r="E15" s="688">
        <v>0.442</v>
      </c>
      <c r="F15" s="688">
        <v>3.5999999999999997E-2</v>
      </c>
      <c r="G15" s="688">
        <v>0.47799999999999998</v>
      </c>
      <c r="H15" s="553">
        <v>0.36799999999999999</v>
      </c>
      <c r="I15" s="553">
        <v>3.5999999999999997E-2</v>
      </c>
      <c r="J15" s="553">
        <v>0.40400000000000003</v>
      </c>
      <c r="K15" s="588">
        <v>0.52800000000000002</v>
      </c>
      <c r="L15" s="588">
        <f xml:space="preserve"> 3.8%</f>
        <v>3.7999999999999999E-2</v>
      </c>
      <c r="M15" s="588">
        <f xml:space="preserve"> 56.6%</f>
        <v>0.56600000000000006</v>
      </c>
      <c r="N15" s="553">
        <v>0.47799999999999998</v>
      </c>
      <c r="O15" s="553">
        <v>3.4000000000000002E-2</v>
      </c>
      <c r="P15" s="553">
        <v>0.51200000000000001</v>
      </c>
      <c r="Q15" s="147">
        <v>0.04</v>
      </c>
      <c r="R15" s="520">
        <v>0.02</v>
      </c>
      <c r="S15" s="275">
        <v>0.02</v>
      </c>
      <c r="T15" s="147">
        <v>0.01</v>
      </c>
      <c r="U15" s="147">
        <v>0.01</v>
      </c>
      <c r="V15" s="588">
        <v>1.2E-2</v>
      </c>
      <c r="W15" s="588">
        <v>3.5999999999999997E-2</v>
      </c>
      <c r="X15" s="588">
        <v>0.26</v>
      </c>
      <c r="Y15" s="588">
        <v>0.20200000000000001</v>
      </c>
      <c r="Z15" s="688">
        <v>7.5999999999999998E-2</v>
      </c>
      <c r="AA15" s="688">
        <v>0.27800000000000002</v>
      </c>
      <c r="AB15" s="588">
        <v>9.6000000000000002E-2</v>
      </c>
      <c r="AC15" s="588">
        <v>0.40600000000000003</v>
      </c>
      <c r="AD15" s="588">
        <v>1.6E-2</v>
      </c>
      <c r="AE15" s="147">
        <v>0.66</v>
      </c>
      <c r="AF15" s="588">
        <v>3.5999999999999997E-2</v>
      </c>
      <c r="AG15" s="688">
        <v>0.54</v>
      </c>
      <c r="AH15" s="147">
        <v>0.1</v>
      </c>
      <c r="AI15" s="588">
        <v>0.35599999999999998</v>
      </c>
      <c r="AJ15" s="588">
        <v>2.4E-2</v>
      </c>
      <c r="AK15" s="588">
        <v>0.63600000000000001</v>
      </c>
      <c r="AL15" s="588">
        <v>0.108</v>
      </c>
      <c r="AM15" s="588">
        <v>0.69799999999999995</v>
      </c>
      <c r="BC15" s="147"/>
      <c r="BD15" s="62"/>
      <c r="BE15" s="62"/>
      <c r="BG15" s="62"/>
      <c r="BH15" s="14"/>
    </row>
    <row r="16" spans="1:125" ht="15" customHeight="1" x14ac:dyDescent="0.3">
      <c r="A16" s="50">
        <v>13</v>
      </c>
      <c r="B16" s="553">
        <v>0.375</v>
      </c>
      <c r="C16" s="553">
        <v>4.5999999999999999E-2</v>
      </c>
      <c r="D16" s="553">
        <v>0.42099999999999999</v>
      </c>
      <c r="E16" s="553">
        <v>0.433</v>
      </c>
      <c r="F16" s="553">
        <v>3.9E-2</v>
      </c>
      <c r="G16" s="553">
        <v>0.47199999999999998</v>
      </c>
      <c r="H16" s="553">
        <v>0.36199999999999999</v>
      </c>
      <c r="I16" s="553">
        <v>3.9E-2</v>
      </c>
      <c r="J16" s="553">
        <v>0.40100000000000002</v>
      </c>
      <c r="K16" s="588">
        <v>0.52200000000000002</v>
      </c>
      <c r="L16" s="588">
        <f xml:space="preserve"> 4.2%</f>
        <v>4.2000000000000003E-2</v>
      </c>
      <c r="M16" s="588">
        <f xml:space="preserve"> 56.4%</f>
        <v>0.56399999999999995</v>
      </c>
      <c r="N16" s="553">
        <v>0.47199999999999998</v>
      </c>
      <c r="O16" s="553">
        <v>3.5999999999999997E-2</v>
      </c>
      <c r="P16" s="553">
        <v>0.50800000000000001</v>
      </c>
      <c r="Q16" s="147">
        <v>0.05</v>
      </c>
      <c r="R16" s="520">
        <v>0.03</v>
      </c>
      <c r="S16" s="275">
        <v>0.02</v>
      </c>
      <c r="T16" s="147">
        <v>0.01</v>
      </c>
      <c r="U16" s="147">
        <v>0.01</v>
      </c>
      <c r="V16" s="588">
        <v>8.0000000000000002E-3</v>
      </c>
      <c r="W16" s="588">
        <v>3.4000000000000002E-2</v>
      </c>
      <c r="X16" s="588">
        <v>0.28000000000000003</v>
      </c>
      <c r="Y16" s="588">
        <v>0.20799999999999999</v>
      </c>
      <c r="Z16" s="588">
        <v>7.3999999999999996E-2</v>
      </c>
      <c r="AA16" s="588">
        <v>0.27700000000000002</v>
      </c>
      <c r="AB16" s="588">
        <v>9.4E-2</v>
      </c>
      <c r="AC16" s="588">
        <v>0.41399999999999998</v>
      </c>
      <c r="AD16" s="588">
        <v>1.4E-2</v>
      </c>
      <c r="AE16" s="147">
        <v>0.69</v>
      </c>
      <c r="AF16" s="588">
        <v>3.4000000000000002E-2</v>
      </c>
      <c r="AG16" s="588">
        <v>0.56000000000000005</v>
      </c>
      <c r="AH16" s="147">
        <v>0.11</v>
      </c>
      <c r="AI16" s="588">
        <v>0.35399999999999998</v>
      </c>
      <c r="AJ16" s="588">
        <v>2.5999999999999999E-2</v>
      </c>
      <c r="AK16" s="588">
        <v>0.63400000000000001</v>
      </c>
      <c r="AL16" s="588">
        <v>0.107</v>
      </c>
      <c r="AM16" s="588">
        <v>0.70199999999999996</v>
      </c>
      <c r="AS16" s="147" t="s">
        <v>641</v>
      </c>
      <c r="AT16" s="585" t="str">
        <f>IF('Upper Extremity-Right'!T95="","",'Upper Extremity-Right'!T95)</f>
        <v/>
      </c>
      <c r="AU16" s="585" t="str">
        <f t="shared" si="0"/>
        <v/>
      </c>
      <c r="AV16" s="194">
        <f>IF(AU16="",0,VLOOKUP(AU16,$A$3:$AM$153,11))</f>
        <v>0</v>
      </c>
      <c r="AX16" s="147" t="s">
        <v>642</v>
      </c>
      <c r="AY16" s="585" t="str">
        <f>IF('Upper Extremity-Right'!V95="","",'Upper Extremity-Right'!V95)</f>
        <v/>
      </c>
      <c r="AZ16" s="585" t="str">
        <f>IF(AY16="","",ROUND(AY16,0))</f>
        <v/>
      </c>
      <c r="BA16" s="194">
        <f>IF(AZ16="",0,VLOOKUP(AZ16,$A$3:$AM$153,11))</f>
        <v>0</v>
      </c>
      <c r="BC16" s="147" t="s">
        <v>641</v>
      </c>
      <c r="BD16" s="585" t="str">
        <f>IF('Upper Extremity-Left'!T95="","",'Upper Extremity-Left'!T95)</f>
        <v/>
      </c>
      <c r="BE16" s="585" t="str">
        <f>IF(BD16="","",ROUND(BD16,0))</f>
        <v/>
      </c>
      <c r="BF16" s="194">
        <f>IF(BE16="",0,VLOOKUP(BE16,$A$3:$AM$153,11))</f>
        <v>0</v>
      </c>
      <c r="BG16" s="62"/>
      <c r="BH16" s="147" t="s">
        <v>642</v>
      </c>
      <c r="BI16" s="585" t="str">
        <f>IF('Upper Extremity-Left'!V95="","",'Upper Extremity-Left'!V95)</f>
        <v/>
      </c>
      <c r="BJ16" s="585" t="str">
        <f>IF(BI16="","",ROUND(BI16,0))</f>
        <v/>
      </c>
      <c r="BK16" s="194">
        <f>IF(BJ16="",0,VLOOKUP(BJ16,$A$3:$AM$153,11))</f>
        <v>0</v>
      </c>
    </row>
    <row r="17" spans="1:63" ht="15" customHeight="1" x14ac:dyDescent="0.3">
      <c r="A17" s="50">
        <v>14</v>
      </c>
      <c r="B17" s="553">
        <v>0.37</v>
      </c>
      <c r="C17" s="553">
        <v>4.8000000000000001E-2</v>
      </c>
      <c r="D17" s="553">
        <v>0.41799999999999998</v>
      </c>
      <c r="E17" s="553">
        <v>0.42399999999999999</v>
      </c>
      <c r="F17" s="553">
        <v>4.2000000000000003E-2</v>
      </c>
      <c r="G17" s="553">
        <v>0.46600000000000003</v>
      </c>
      <c r="H17" s="688">
        <v>0.35599999999999998</v>
      </c>
      <c r="I17" s="553">
        <v>4.2000000000000003E-2</v>
      </c>
      <c r="J17" s="688">
        <v>0.39800000000000002</v>
      </c>
      <c r="K17" s="588">
        <v>0.51600000000000001</v>
      </c>
      <c r="L17" s="588">
        <f xml:space="preserve"> 4.6%</f>
        <v>4.5999999999999999E-2</v>
      </c>
      <c r="M17" s="588">
        <f xml:space="preserve"> 56.2%</f>
        <v>0.56200000000000006</v>
      </c>
      <c r="N17" s="553">
        <v>0.46600000000000003</v>
      </c>
      <c r="O17" s="553">
        <v>3.7999999999999999E-2</v>
      </c>
      <c r="P17" s="553">
        <v>0.504</v>
      </c>
      <c r="Q17" s="147">
        <v>0.05</v>
      </c>
      <c r="R17" s="520">
        <v>0.03</v>
      </c>
      <c r="S17" s="275">
        <v>0.03</v>
      </c>
      <c r="T17" s="147">
        <v>0.01</v>
      </c>
      <c r="U17" s="147">
        <v>0.01</v>
      </c>
      <c r="V17" s="588">
        <v>4.0000000000000001E-3</v>
      </c>
      <c r="W17" s="588">
        <v>3.2000000000000001E-2</v>
      </c>
      <c r="X17" s="588">
        <v>0.3</v>
      </c>
      <c r="Y17" s="588">
        <v>0.214</v>
      </c>
      <c r="Z17" s="588">
        <v>7.1999999999999995E-2</v>
      </c>
      <c r="AA17" s="588">
        <v>0.27600000000000002</v>
      </c>
      <c r="AB17" s="588">
        <v>9.1999999999999998E-2</v>
      </c>
      <c r="AC17" s="588">
        <v>0.42199999999999999</v>
      </c>
      <c r="AD17" s="588">
        <v>1.2E-2</v>
      </c>
      <c r="AE17" s="147">
        <v>0.72</v>
      </c>
      <c r="AF17" s="588">
        <v>3.2000000000000001E-2</v>
      </c>
      <c r="AG17" s="588">
        <v>0.57999999999999996</v>
      </c>
      <c r="AH17" s="147">
        <v>0.12</v>
      </c>
      <c r="AI17" s="588">
        <v>0.35199999999999998</v>
      </c>
      <c r="AJ17" s="588">
        <v>2.8000000000000001E-2</v>
      </c>
      <c r="AK17" s="588">
        <v>0.63200000000000001</v>
      </c>
      <c r="AL17" s="588">
        <v>0.106</v>
      </c>
      <c r="AM17" s="588">
        <v>0.70599999999999996</v>
      </c>
      <c r="AS17" s="147" t="s">
        <v>455</v>
      </c>
      <c r="AT17" s="585" t="str">
        <f>IF('Upper Extremity-Right'!T96="","",'Upper Extremity-Right'!T96)</f>
        <v/>
      </c>
      <c r="AU17" s="585" t="str">
        <f t="shared" si="0"/>
        <v/>
      </c>
      <c r="AV17" s="194">
        <f>IF(AU17="",0,VLOOKUP(AU17,$A$3:$AM$153,12))</f>
        <v>0</v>
      </c>
      <c r="AX17" s="147" t="s">
        <v>642</v>
      </c>
      <c r="AY17" s="585" t="str">
        <f>IF('Upper Extremity-Right'!V96="","",'Upper Extremity-Right'!V96)</f>
        <v/>
      </c>
      <c r="AZ17" s="585" t="str">
        <f>IF(AY17="","",ROUND(AY17,0))</f>
        <v/>
      </c>
      <c r="BA17" s="194">
        <f>IF(AZ17="",0,VLOOKUP(AZ17,$A$3:$AM$153,12))</f>
        <v>0</v>
      </c>
      <c r="BC17" s="147" t="s">
        <v>455</v>
      </c>
      <c r="BD17" s="585" t="str">
        <f>IF('Upper Extremity-Left'!T96="","",'Upper Extremity-Left'!T96)</f>
        <v/>
      </c>
      <c r="BE17" s="585" t="str">
        <f>IF(BD17="","",ROUND(BD17,0))</f>
        <v/>
      </c>
      <c r="BF17" s="194">
        <f>IF(BE17="",0,VLOOKUP(BE17,$A$3:$AM$153,12))</f>
        <v>0</v>
      </c>
      <c r="BG17" s="62"/>
      <c r="BH17" s="147" t="s">
        <v>642</v>
      </c>
      <c r="BI17" s="585" t="str">
        <f>IF('Upper Extremity-Left'!V96="","",'Upper Extremity-Left'!V96)</f>
        <v/>
      </c>
      <c r="BJ17" s="585" t="str">
        <f>IF(BI17="","",ROUND(BI17,0))</f>
        <v/>
      </c>
      <c r="BK17" s="194">
        <f>IF(BJ17="",0,VLOOKUP(BJ17,$A$3:$AM$153,12))</f>
        <v>0</v>
      </c>
    </row>
    <row r="18" spans="1:63" ht="15" customHeight="1" x14ac:dyDescent="0.3">
      <c r="A18" s="50">
        <v>15</v>
      </c>
      <c r="B18" s="553">
        <v>0.36499999999999999</v>
      </c>
      <c r="C18" s="553">
        <v>0.05</v>
      </c>
      <c r="D18" s="553">
        <v>0.41499999999999998</v>
      </c>
      <c r="E18" s="553">
        <v>0.41499999999999998</v>
      </c>
      <c r="F18" s="553">
        <v>4.4999999999999998E-2</v>
      </c>
      <c r="G18" s="553">
        <v>0.46</v>
      </c>
      <c r="H18" s="553">
        <v>0.35</v>
      </c>
      <c r="I18" s="553">
        <v>4.4999999999999998E-2</v>
      </c>
      <c r="J18" s="553">
        <v>0.39500000000000002</v>
      </c>
      <c r="K18" s="588">
        <v>0.51</v>
      </c>
      <c r="L18" s="588">
        <f xml:space="preserve"> 5%</f>
        <v>0.05</v>
      </c>
      <c r="M18" s="588">
        <f xml:space="preserve"> 56%</f>
        <v>0.56000000000000005</v>
      </c>
      <c r="N18" s="553">
        <v>0.46</v>
      </c>
      <c r="O18" s="553">
        <v>0.04</v>
      </c>
      <c r="P18" s="553">
        <v>0.5</v>
      </c>
      <c r="Q18" s="147">
        <v>0.05</v>
      </c>
      <c r="R18" s="520">
        <v>0.03</v>
      </c>
      <c r="S18" s="275">
        <v>0.03</v>
      </c>
      <c r="T18" s="147">
        <v>0.01</v>
      </c>
      <c r="U18" s="147">
        <v>0.01</v>
      </c>
      <c r="V18" s="588">
        <v>0</v>
      </c>
      <c r="W18" s="588">
        <v>0.03</v>
      </c>
      <c r="X18" s="588">
        <v>0.32</v>
      </c>
      <c r="Y18" s="588">
        <v>0.22</v>
      </c>
      <c r="Z18" s="588">
        <v>7.0000000000000007E-2</v>
      </c>
      <c r="AA18" s="588">
        <v>0.27500000000000002</v>
      </c>
      <c r="AB18" s="588">
        <v>0.09</v>
      </c>
      <c r="AC18" s="588">
        <v>0.43</v>
      </c>
      <c r="AD18" s="588">
        <v>0.01</v>
      </c>
      <c r="AE18" s="147">
        <v>0.75</v>
      </c>
      <c r="AF18" s="588">
        <v>0.03</v>
      </c>
      <c r="AG18" s="588">
        <v>0.6</v>
      </c>
      <c r="AH18" s="147">
        <v>0.12</v>
      </c>
      <c r="AI18" s="588">
        <v>0.35</v>
      </c>
      <c r="AJ18" s="588">
        <v>0.03</v>
      </c>
      <c r="AK18" s="588">
        <v>0.63</v>
      </c>
      <c r="AL18" s="588">
        <v>0.105</v>
      </c>
      <c r="AM18" s="588">
        <v>0.71</v>
      </c>
      <c r="AS18" s="147" t="s">
        <v>456</v>
      </c>
      <c r="AT18" s="585" t="str">
        <f>IF('Upper Extremity-Right'!T97="","",'Upper Extremity-Right'!T97)</f>
        <v/>
      </c>
      <c r="AU18" s="585" t="str">
        <f t="shared" si="0"/>
        <v/>
      </c>
      <c r="AV18" s="194">
        <f>IF(AU18="",0,VLOOKUP(AU18,$A$3:$AM$153,13))</f>
        <v>0</v>
      </c>
      <c r="BC18" s="147" t="s">
        <v>456</v>
      </c>
      <c r="BD18" s="585" t="str">
        <f>IF('Upper Extremity-Left'!T97="","",'Upper Extremity-Left'!T97)</f>
        <v/>
      </c>
      <c r="BE18" s="585" t="str">
        <f>IF(BD18="","",ROUND(BD18,0))</f>
        <v/>
      </c>
      <c r="BF18" s="194">
        <f>IF(BE18="",0,VLOOKUP(BE18,$A$3:$AM$153,13))</f>
        <v>0</v>
      </c>
      <c r="BG18" s="62"/>
      <c r="BH18" s="14"/>
    </row>
    <row r="19" spans="1:63" ht="15" customHeight="1" x14ac:dyDescent="0.3">
      <c r="A19" s="50">
        <v>16</v>
      </c>
      <c r="B19" s="688">
        <v>0.36</v>
      </c>
      <c r="C19" s="688">
        <v>5.1999999999999998E-2</v>
      </c>
      <c r="D19" s="688">
        <v>0.41199999999999998</v>
      </c>
      <c r="E19" s="688">
        <v>0.40600000000000003</v>
      </c>
      <c r="F19" s="553">
        <v>4.8000000000000001E-2</v>
      </c>
      <c r="G19" s="553">
        <v>0.45400000000000001</v>
      </c>
      <c r="H19" s="553">
        <v>0.34399999999999997</v>
      </c>
      <c r="I19" s="553">
        <v>4.8000000000000001E-2</v>
      </c>
      <c r="J19" s="553">
        <v>0.39200000000000002</v>
      </c>
      <c r="K19" s="588">
        <v>0.504</v>
      </c>
      <c r="L19" s="588">
        <f xml:space="preserve"> 5.4%</f>
        <v>5.4000000000000006E-2</v>
      </c>
      <c r="M19" s="588">
        <f xml:space="preserve"> 55.8%</f>
        <v>0.55799999999999994</v>
      </c>
      <c r="N19" s="553">
        <v>0.45400000000000001</v>
      </c>
      <c r="O19" s="553">
        <v>4.2000000000000003E-2</v>
      </c>
      <c r="P19" s="553">
        <v>0.496</v>
      </c>
      <c r="Q19" s="147">
        <v>0.06</v>
      </c>
      <c r="R19" s="520">
        <v>0.03</v>
      </c>
      <c r="S19" s="275">
        <v>0.03</v>
      </c>
      <c r="T19" s="147">
        <v>0.02</v>
      </c>
      <c r="U19" s="147">
        <v>0.01</v>
      </c>
      <c r="V19" s="588"/>
      <c r="W19" s="588">
        <v>2.8000000000000001E-2</v>
      </c>
      <c r="X19" s="147"/>
      <c r="Y19" s="588">
        <v>0.22600000000000001</v>
      </c>
      <c r="Z19" s="588">
        <v>6.8000000000000005E-2</v>
      </c>
      <c r="AA19" s="588">
        <v>0.27400000000000002</v>
      </c>
      <c r="AB19" s="588">
        <v>8.7999999999999995E-2</v>
      </c>
      <c r="AC19" s="588">
        <v>0.438</v>
      </c>
      <c r="AD19" s="588">
        <v>8.0000000000000002E-3</v>
      </c>
      <c r="AE19" s="147">
        <v>0.78</v>
      </c>
      <c r="AF19" s="588">
        <v>2.8000000000000001E-2</v>
      </c>
      <c r="AG19" s="588">
        <v>0.62</v>
      </c>
      <c r="AH19" s="147">
        <v>0.13</v>
      </c>
      <c r="AI19" s="588">
        <v>0.34799999999999998</v>
      </c>
      <c r="AJ19" s="588">
        <v>3.2000000000000001E-2</v>
      </c>
      <c r="AK19" s="588">
        <v>0.628</v>
      </c>
      <c r="AL19" s="588">
        <v>0.104</v>
      </c>
      <c r="AM19" s="588">
        <v>0.71399999999999997</v>
      </c>
      <c r="BC19" s="147"/>
      <c r="BD19" s="62"/>
      <c r="BE19" s="62"/>
      <c r="BG19" s="62"/>
      <c r="BH19" s="14"/>
    </row>
    <row r="20" spans="1:63" ht="15" customHeight="1" x14ac:dyDescent="0.3">
      <c r="A20" s="50">
        <v>17</v>
      </c>
      <c r="B20" s="553">
        <v>0.35499999999999998</v>
      </c>
      <c r="C20" s="553">
        <v>5.3999999999999999E-2</v>
      </c>
      <c r="D20" s="553">
        <v>0.40899999999999997</v>
      </c>
      <c r="E20" s="553">
        <v>0.39700000000000002</v>
      </c>
      <c r="F20" s="553">
        <v>5.0999999999999997E-2</v>
      </c>
      <c r="G20" s="553">
        <v>0.44800000000000001</v>
      </c>
      <c r="H20" s="553">
        <v>0.33800000000000002</v>
      </c>
      <c r="I20" s="553">
        <v>5.0999999999999997E-2</v>
      </c>
      <c r="J20" s="688">
        <v>0.38900000000000001</v>
      </c>
      <c r="K20" s="588">
        <v>0.498</v>
      </c>
      <c r="L20" s="588">
        <f xml:space="preserve"> 5.8%</f>
        <v>5.7999999999999996E-2</v>
      </c>
      <c r="M20" s="588">
        <f xml:space="preserve"> 55.6%</f>
        <v>0.55600000000000005</v>
      </c>
      <c r="N20" s="553">
        <v>0.44800000000000001</v>
      </c>
      <c r="O20" s="553">
        <v>4.3999999999999997E-2</v>
      </c>
      <c r="P20" s="553">
        <v>0.49199999999999999</v>
      </c>
      <c r="Q20" s="147">
        <v>0.06</v>
      </c>
      <c r="R20" s="520">
        <v>0.03</v>
      </c>
      <c r="S20" s="275">
        <v>0.03</v>
      </c>
      <c r="T20" s="147">
        <v>0.02</v>
      </c>
      <c r="U20" s="147">
        <v>0.01</v>
      </c>
      <c r="V20" s="588"/>
      <c r="W20" s="588">
        <v>2.5999999999999999E-2</v>
      </c>
      <c r="X20" s="147"/>
      <c r="Y20" s="588">
        <v>0.23200000000000001</v>
      </c>
      <c r="Z20" s="588">
        <v>6.6000000000000003E-2</v>
      </c>
      <c r="AA20" s="588">
        <v>0.27300000000000002</v>
      </c>
      <c r="AB20" s="588">
        <v>8.5999999999999993E-2</v>
      </c>
      <c r="AC20" s="588">
        <v>0.44600000000000001</v>
      </c>
      <c r="AD20" s="588">
        <v>6.0000000000000001E-3</v>
      </c>
      <c r="AE20" s="147">
        <v>0.81</v>
      </c>
      <c r="AF20" s="588">
        <v>2.5999999999999999E-2</v>
      </c>
      <c r="AG20" s="588">
        <v>0.64</v>
      </c>
      <c r="AH20" s="147">
        <v>0.14000000000000001</v>
      </c>
      <c r="AI20" s="588">
        <v>0.34599999999999997</v>
      </c>
      <c r="AJ20" s="588">
        <v>3.4000000000000002E-2</v>
      </c>
      <c r="AK20" s="588">
        <v>0.626</v>
      </c>
      <c r="AL20" s="588">
        <v>0.10299999999999999</v>
      </c>
      <c r="AM20" s="588">
        <v>0.71799999999999997</v>
      </c>
      <c r="AS20" s="147" t="s">
        <v>457</v>
      </c>
      <c r="AT20" s="585" t="str">
        <f>IF('Upper Extremity-Right'!T99="","",'Upper Extremity-Right'!T99)</f>
        <v/>
      </c>
      <c r="AU20" s="585" t="str">
        <f t="shared" si="0"/>
        <v/>
      </c>
      <c r="AV20" s="194">
        <f>IF(AU20="",0,VLOOKUP(AU20,$A$3:$AM$153,14))</f>
        <v>0</v>
      </c>
      <c r="AX20" s="147" t="s">
        <v>458</v>
      </c>
      <c r="AY20" s="585" t="str">
        <f>IF('Upper Extremity-Right'!V99="","",'Upper Extremity-Right'!V99)</f>
        <v/>
      </c>
      <c r="AZ20" s="585" t="str">
        <f>IF(AY20="","",ROUND(AY20,0))</f>
        <v/>
      </c>
      <c r="BA20" s="194">
        <f>IF(AZ20="",0,VLOOKUP(AZ20,$A$3:$AM$153,14))</f>
        <v>0</v>
      </c>
      <c r="BC20" s="147" t="s">
        <v>457</v>
      </c>
      <c r="BD20" s="585" t="str">
        <f>IF('Upper Extremity-Left'!T99="","",'Upper Extremity-Left'!T99)</f>
        <v/>
      </c>
      <c r="BE20" s="585" t="str">
        <f>IF(BD20="","",ROUND(BD20,0))</f>
        <v/>
      </c>
      <c r="BF20" s="194">
        <f>IF(BE20="",0,VLOOKUP(BE20,$A$3:$AM$153,14))</f>
        <v>0</v>
      </c>
      <c r="BG20" s="62"/>
      <c r="BH20" s="147" t="s">
        <v>458</v>
      </c>
      <c r="BI20" s="585" t="str">
        <f>IF('Upper Extremity-Left'!V99="","",'Upper Extremity-Left'!V99)</f>
        <v/>
      </c>
      <c r="BJ20" s="585" t="str">
        <f>IF(BI20="","",ROUND(BI20,0))</f>
        <v/>
      </c>
      <c r="BK20" s="194">
        <f>IF(BJ20="",0,VLOOKUP(BJ20,$A$3:$AM$153,14))</f>
        <v>0</v>
      </c>
    </row>
    <row r="21" spans="1:63" ht="15.75" customHeight="1" x14ac:dyDescent="0.3">
      <c r="A21" s="50">
        <v>18</v>
      </c>
      <c r="B21" s="553">
        <v>0.35</v>
      </c>
      <c r="C21" s="553">
        <v>5.6000000000000001E-2</v>
      </c>
      <c r="D21" s="553">
        <v>0.40600000000000003</v>
      </c>
      <c r="E21" s="553">
        <v>0.38800000000000001</v>
      </c>
      <c r="F21" s="553">
        <v>5.3999999999999999E-2</v>
      </c>
      <c r="G21" s="553">
        <v>0.442</v>
      </c>
      <c r="H21" s="553">
        <v>0.33200000000000002</v>
      </c>
      <c r="I21" s="553">
        <v>5.3999999999999999E-2</v>
      </c>
      <c r="J21" s="553">
        <v>0.38600000000000001</v>
      </c>
      <c r="K21" s="588">
        <v>0.49199999999999999</v>
      </c>
      <c r="L21" s="588">
        <f xml:space="preserve"> 6.2%</f>
        <v>6.2E-2</v>
      </c>
      <c r="M21" s="588">
        <f xml:space="preserve"> 55.4%</f>
        <v>0.55399999999999994</v>
      </c>
      <c r="N21" s="688">
        <v>0.442</v>
      </c>
      <c r="O21" s="688">
        <v>4.5999999999999999E-2</v>
      </c>
      <c r="P21" s="688">
        <v>0.48799999999999999</v>
      </c>
      <c r="Q21" s="690">
        <v>0.06</v>
      </c>
      <c r="R21" s="520">
        <v>0.03</v>
      </c>
      <c r="S21" s="690">
        <v>0.03</v>
      </c>
      <c r="T21" s="147">
        <v>0.02</v>
      </c>
      <c r="U21" s="147">
        <v>0.01</v>
      </c>
      <c r="V21" s="588"/>
      <c r="W21" s="588">
        <v>2.4E-2</v>
      </c>
      <c r="X21" s="147"/>
      <c r="Y21" s="588">
        <v>0.23799999999999999</v>
      </c>
      <c r="Z21" s="588">
        <v>6.4000000000000001E-2</v>
      </c>
      <c r="AA21" s="588">
        <v>0.27200000000000002</v>
      </c>
      <c r="AB21" s="588">
        <v>8.4000000000000005E-2</v>
      </c>
      <c r="AC21" s="588">
        <v>0.45400000000000001</v>
      </c>
      <c r="AD21" s="588">
        <v>4.0000000000000001E-3</v>
      </c>
      <c r="AE21" s="147">
        <v>0.84</v>
      </c>
      <c r="AF21" s="588">
        <v>2.4E-2</v>
      </c>
      <c r="AG21" s="588">
        <v>0.66</v>
      </c>
      <c r="AH21" s="147">
        <v>0.15</v>
      </c>
      <c r="AI21" s="588">
        <v>0.34399999999999997</v>
      </c>
      <c r="AJ21" s="588">
        <v>3.5999999999999997E-2</v>
      </c>
      <c r="AK21" s="588">
        <v>0.624</v>
      </c>
      <c r="AL21" s="588">
        <v>0.10199999999999999</v>
      </c>
      <c r="AM21" s="588">
        <v>0.72199999999999998</v>
      </c>
      <c r="AS21" s="147" t="s">
        <v>459</v>
      </c>
      <c r="AT21" s="585" t="str">
        <f>IF('Upper Extremity-Right'!T100="","",'Upper Extremity-Right'!T100)</f>
        <v/>
      </c>
      <c r="AU21" s="585" t="str">
        <f t="shared" si="0"/>
        <v/>
      </c>
      <c r="AV21" s="194">
        <f>IF(AU21="",0,VLOOKUP(AU21,$A$3:$AM$153,15))</f>
        <v>0</v>
      </c>
      <c r="AX21" s="147" t="s">
        <v>458</v>
      </c>
      <c r="AY21" s="585" t="str">
        <f>IF('Upper Extremity-Right'!V100="","",'Upper Extremity-Right'!V100)</f>
        <v/>
      </c>
      <c r="AZ21" s="585" t="str">
        <f>IF(AY21="","",ROUND(AY21,0))</f>
        <v/>
      </c>
      <c r="BA21" s="194">
        <f>IF(AZ21="",0,VLOOKUP(AZ21,$A$3:$AM$153,15))</f>
        <v>0</v>
      </c>
      <c r="BC21" s="147" t="s">
        <v>459</v>
      </c>
      <c r="BD21" s="585" t="str">
        <f>IF('Upper Extremity-Left'!T100="","",'Upper Extremity-Left'!T100)</f>
        <v/>
      </c>
      <c r="BE21" s="585" t="str">
        <f>IF(BD21="","",ROUND(BD21,0))</f>
        <v/>
      </c>
      <c r="BF21" s="194">
        <f>IF(BE21="",0,VLOOKUP(BE21,$A$3:$AM$153,15))</f>
        <v>0</v>
      </c>
      <c r="BG21" s="62"/>
      <c r="BH21" s="147" t="s">
        <v>458</v>
      </c>
      <c r="BI21" s="585" t="str">
        <f>IF('Upper Extremity-Left'!V100="","",'Upper Extremity-Left'!V100)</f>
        <v/>
      </c>
      <c r="BJ21" s="585" t="str">
        <f>IF(BI21="","",ROUND(BI21,0))</f>
        <v/>
      </c>
      <c r="BK21" s="194">
        <f>IF(BJ21="",0,VLOOKUP(BJ21,$A$3:$AM$153,15))</f>
        <v>0</v>
      </c>
    </row>
    <row r="22" spans="1:63" ht="15" customHeight="1" x14ac:dyDescent="0.3">
      <c r="A22" s="50">
        <v>19</v>
      </c>
      <c r="B22" s="553">
        <v>0.34499999999999997</v>
      </c>
      <c r="C22" s="553">
        <v>5.8000000000000003E-2</v>
      </c>
      <c r="D22" s="553">
        <v>0.40300000000000002</v>
      </c>
      <c r="E22" s="553">
        <v>0.379</v>
      </c>
      <c r="F22" s="553">
        <v>5.7000000000000002E-2</v>
      </c>
      <c r="G22" s="553">
        <v>0.436</v>
      </c>
      <c r="H22" s="553">
        <v>0.32600000000000001</v>
      </c>
      <c r="I22" s="553">
        <v>5.7000000000000002E-2</v>
      </c>
      <c r="J22" s="553">
        <v>0.38300000000000001</v>
      </c>
      <c r="K22" s="588">
        <v>0.48599999999999999</v>
      </c>
      <c r="L22" s="588">
        <f xml:space="preserve"> 6.6%</f>
        <v>6.6000000000000003E-2</v>
      </c>
      <c r="M22" s="588">
        <f xml:space="preserve"> 55.2%</f>
        <v>0.55200000000000005</v>
      </c>
      <c r="N22" s="553">
        <v>0.436</v>
      </c>
      <c r="O22" s="553">
        <v>4.8000000000000001E-2</v>
      </c>
      <c r="P22" s="553">
        <v>0.48399999999999999</v>
      </c>
      <c r="Q22" s="147">
        <v>7.0000000000000007E-2</v>
      </c>
      <c r="R22" s="520">
        <v>0.04</v>
      </c>
      <c r="S22" s="147">
        <v>0.03</v>
      </c>
      <c r="T22" s="147">
        <v>0.02</v>
      </c>
      <c r="U22" s="147">
        <v>0.01</v>
      </c>
      <c r="V22" s="588"/>
      <c r="W22" s="588">
        <v>2.1999999999999999E-2</v>
      </c>
      <c r="X22" s="147"/>
      <c r="Y22" s="588">
        <v>0.24399999999999999</v>
      </c>
      <c r="Z22" s="588">
        <v>6.2E-2</v>
      </c>
      <c r="AA22" s="588">
        <v>0.27100000000000002</v>
      </c>
      <c r="AB22" s="588">
        <v>8.2000000000000003E-2</v>
      </c>
      <c r="AC22" s="588">
        <v>0.46200000000000002</v>
      </c>
      <c r="AD22" s="588">
        <v>2E-3</v>
      </c>
      <c r="AE22" s="147">
        <v>0.87</v>
      </c>
      <c r="AF22" s="588">
        <v>2.1999999999999999E-2</v>
      </c>
      <c r="AG22" s="588">
        <v>0.68</v>
      </c>
      <c r="AH22" s="147">
        <v>0.16</v>
      </c>
      <c r="AI22" s="588">
        <v>0.34200000000000003</v>
      </c>
      <c r="AJ22" s="588">
        <v>3.7999999999999999E-2</v>
      </c>
      <c r="AK22" s="588">
        <v>0.622</v>
      </c>
      <c r="AL22" s="588">
        <v>0.10100000000000001</v>
      </c>
      <c r="AM22" s="588">
        <v>0.72599999999999998</v>
      </c>
      <c r="AS22" s="147" t="s">
        <v>460</v>
      </c>
      <c r="AT22" s="585" t="str">
        <f>IF('Upper Extremity-Right'!T101="","",'Upper Extremity-Right'!T101)</f>
        <v/>
      </c>
      <c r="AU22" s="585" t="str">
        <f t="shared" si="0"/>
        <v/>
      </c>
      <c r="AV22" s="194">
        <f>IF(AU22="",0,VLOOKUP(AU22,$A$3:$AM$153,16))</f>
        <v>0</v>
      </c>
      <c r="BC22" s="147" t="s">
        <v>460</v>
      </c>
      <c r="BD22" s="585" t="str">
        <f>IF('Upper Extremity-Left'!T101="","",'Upper Extremity-Left'!T101)</f>
        <v/>
      </c>
      <c r="BE22" s="585" t="str">
        <f>IF(BD22="","",ROUND(BD22,0))</f>
        <v/>
      </c>
      <c r="BF22" s="194">
        <f>IF(BE22="",0,VLOOKUP(BE22,$A$3:$AM$153,16))</f>
        <v>0</v>
      </c>
      <c r="BG22" s="62"/>
      <c r="BH22" s="14"/>
    </row>
    <row r="23" spans="1:63" ht="15" customHeight="1" x14ac:dyDescent="0.3">
      <c r="A23" s="50">
        <v>20</v>
      </c>
      <c r="B23" s="553">
        <v>0.34</v>
      </c>
      <c r="C23" s="553">
        <v>0.06</v>
      </c>
      <c r="D23" s="553">
        <v>0.4</v>
      </c>
      <c r="E23" s="553">
        <v>0.37</v>
      </c>
      <c r="F23" s="553">
        <v>0.06</v>
      </c>
      <c r="G23" s="553">
        <v>0.43</v>
      </c>
      <c r="H23" s="553">
        <v>0.32</v>
      </c>
      <c r="I23" s="553">
        <v>0.06</v>
      </c>
      <c r="J23" s="553">
        <v>0.38</v>
      </c>
      <c r="K23" s="691">
        <v>0.48</v>
      </c>
      <c r="L23" s="691">
        <f xml:space="preserve"> 7%</f>
        <v>7.0000000000000007E-2</v>
      </c>
      <c r="M23" s="691">
        <f xml:space="preserve"> 55%</f>
        <v>0.55000000000000004</v>
      </c>
      <c r="N23" s="553">
        <v>0.43</v>
      </c>
      <c r="O23" s="553">
        <v>0.05</v>
      </c>
      <c r="P23" s="553">
        <v>0.48</v>
      </c>
      <c r="Q23" s="147">
        <v>7.0000000000000007E-2</v>
      </c>
      <c r="R23" s="520">
        <v>0.04</v>
      </c>
      <c r="S23" s="147">
        <v>0.03</v>
      </c>
      <c r="T23" s="147">
        <v>0.02</v>
      </c>
      <c r="U23" s="147">
        <v>0.01</v>
      </c>
      <c r="V23" s="588"/>
      <c r="W23" s="588">
        <v>0.02</v>
      </c>
      <c r="X23" s="147"/>
      <c r="Y23" s="588">
        <v>0.25</v>
      </c>
      <c r="Z23" s="588">
        <v>0.06</v>
      </c>
      <c r="AA23" s="588">
        <v>0.27</v>
      </c>
      <c r="AB23" s="588">
        <v>0.08</v>
      </c>
      <c r="AC23" s="588">
        <v>0.47</v>
      </c>
      <c r="AD23" s="588">
        <v>0</v>
      </c>
      <c r="AE23" s="147">
        <v>0.9</v>
      </c>
      <c r="AF23" s="588">
        <v>0.02</v>
      </c>
      <c r="AG23" s="588">
        <v>0.7</v>
      </c>
      <c r="AH23" s="147">
        <v>0.16</v>
      </c>
      <c r="AI23" s="588">
        <v>0.34</v>
      </c>
      <c r="AJ23" s="588">
        <v>0.04</v>
      </c>
      <c r="AK23" s="588">
        <v>0.62</v>
      </c>
      <c r="AL23" s="588">
        <v>0.1</v>
      </c>
      <c r="AM23" s="588">
        <v>0.73</v>
      </c>
      <c r="BC23" s="147"/>
      <c r="BD23" s="62"/>
      <c r="BE23" s="62"/>
      <c r="BG23" s="62"/>
      <c r="BH23" s="14"/>
    </row>
    <row r="24" spans="1:63" ht="15" customHeight="1" x14ac:dyDescent="0.3">
      <c r="A24" s="50">
        <v>21</v>
      </c>
      <c r="B24" s="553">
        <v>0.33400000000000002</v>
      </c>
      <c r="C24" s="553">
        <v>6.4000000000000001E-2</v>
      </c>
      <c r="D24" s="553">
        <v>0.39800000000000002</v>
      </c>
      <c r="E24" s="553">
        <v>0.36</v>
      </c>
      <c r="F24" s="553">
        <v>7.9000000000000001E-2</v>
      </c>
      <c r="G24" s="553">
        <v>0.439</v>
      </c>
      <c r="H24" s="553">
        <v>0.314</v>
      </c>
      <c r="I24" s="553">
        <v>6.2E-2</v>
      </c>
      <c r="J24" s="553">
        <v>0.376</v>
      </c>
      <c r="K24" s="588">
        <v>0.47399999999999998</v>
      </c>
      <c r="L24" s="588">
        <f xml:space="preserve"> 7.4%</f>
        <v>7.400000000000001E-2</v>
      </c>
      <c r="M24" s="588">
        <f xml:space="preserve"> 54.8%</f>
        <v>0.54799999999999993</v>
      </c>
      <c r="N24" s="553">
        <v>0.42399999999999999</v>
      </c>
      <c r="O24" s="553">
        <v>5.2999999999999999E-2</v>
      </c>
      <c r="P24" s="553">
        <v>0.47699999999999998</v>
      </c>
      <c r="Q24" s="147">
        <v>7.0000000000000007E-2</v>
      </c>
      <c r="R24" s="520">
        <v>0.04</v>
      </c>
      <c r="S24" s="147">
        <v>0.04</v>
      </c>
      <c r="T24" s="147">
        <v>0.02</v>
      </c>
      <c r="U24" s="147">
        <v>0.01</v>
      </c>
      <c r="V24" s="588"/>
      <c r="W24" s="588">
        <v>1.7999999999999999E-2</v>
      </c>
      <c r="X24" s="147"/>
      <c r="Y24" s="588">
        <v>0.25700000000000001</v>
      </c>
      <c r="Z24" s="588">
        <v>5.8999999999999997E-2</v>
      </c>
      <c r="AA24" s="588">
        <v>0.26800000000000002</v>
      </c>
      <c r="AB24" s="588">
        <v>7.8E-2</v>
      </c>
      <c r="AC24" s="588">
        <v>0.47899999999999998</v>
      </c>
      <c r="AD24" s="588"/>
      <c r="AE24" s="147"/>
      <c r="AF24" s="588">
        <v>1.7999999999999999E-2</v>
      </c>
      <c r="AG24" s="588">
        <v>0.72</v>
      </c>
      <c r="AH24" s="147">
        <v>0.17</v>
      </c>
      <c r="AI24" s="588">
        <v>0.33700000000000002</v>
      </c>
      <c r="AJ24" s="588">
        <v>4.2000000000000003E-2</v>
      </c>
      <c r="AK24" s="588">
        <v>0.61899999999999999</v>
      </c>
      <c r="AL24" s="588">
        <v>9.8000000000000004E-2</v>
      </c>
      <c r="AM24" s="588">
        <v>0.73299999999999998</v>
      </c>
      <c r="AS24" s="147" t="s">
        <v>1566</v>
      </c>
      <c r="BC24" s="147" t="s">
        <v>1566</v>
      </c>
      <c r="BD24" s="62"/>
      <c r="BE24" s="62"/>
      <c r="BG24" s="62"/>
      <c r="BH24" s="14"/>
    </row>
    <row r="25" spans="1:63" ht="15" customHeight="1" x14ac:dyDescent="0.3">
      <c r="A25" s="50">
        <v>22</v>
      </c>
      <c r="B25" s="553">
        <v>0.32800000000000001</v>
      </c>
      <c r="C25" s="553">
        <v>6.8000000000000005E-2</v>
      </c>
      <c r="D25" s="553">
        <v>0.39600000000000002</v>
      </c>
      <c r="E25" s="553">
        <v>0.35</v>
      </c>
      <c r="F25" s="553">
        <v>9.8000000000000004E-2</v>
      </c>
      <c r="G25" s="553">
        <v>0.44800000000000001</v>
      </c>
      <c r="H25" s="553">
        <v>0.308</v>
      </c>
      <c r="I25" s="553">
        <v>6.4000000000000001E-2</v>
      </c>
      <c r="J25" s="553">
        <v>0.372</v>
      </c>
      <c r="K25" s="588">
        <v>0.46800000000000003</v>
      </c>
      <c r="L25" s="588">
        <f xml:space="preserve"> 7.8%</f>
        <v>7.8E-2</v>
      </c>
      <c r="M25" s="588">
        <f xml:space="preserve"> 54.6%</f>
        <v>0.54600000000000004</v>
      </c>
      <c r="N25" s="553">
        <v>0.41799999999999998</v>
      </c>
      <c r="O25" s="553">
        <v>5.6000000000000001E-2</v>
      </c>
      <c r="P25" s="553">
        <v>0.47399999999999998</v>
      </c>
      <c r="Q25" s="147">
        <v>0.08</v>
      </c>
      <c r="R25" s="520">
        <v>0.04</v>
      </c>
      <c r="S25" s="147">
        <v>0.04</v>
      </c>
      <c r="T25" s="147">
        <v>0.02</v>
      </c>
      <c r="U25" s="147">
        <v>0.01</v>
      </c>
      <c r="V25" s="588"/>
      <c r="W25" s="588">
        <v>1.6E-2</v>
      </c>
      <c r="X25" s="147"/>
      <c r="Y25" s="588">
        <v>0.26400000000000001</v>
      </c>
      <c r="Z25" s="588">
        <v>5.8000000000000003E-2</v>
      </c>
      <c r="AA25" s="588">
        <v>0.26600000000000001</v>
      </c>
      <c r="AB25" s="588">
        <v>7.5999999999999998E-2</v>
      </c>
      <c r="AC25" s="588">
        <v>0.48799999999999999</v>
      </c>
      <c r="AD25" s="588"/>
      <c r="AE25" s="147"/>
      <c r="AF25" s="588">
        <v>1.6E-2</v>
      </c>
      <c r="AG25" s="588">
        <v>0.74</v>
      </c>
      <c r="AH25" s="147">
        <v>0.18</v>
      </c>
      <c r="AI25" s="588">
        <v>0.33400000000000002</v>
      </c>
      <c r="AJ25" s="588">
        <v>4.3999999999999997E-2</v>
      </c>
      <c r="AK25" s="588">
        <v>0.61799999999999999</v>
      </c>
      <c r="AL25" s="588">
        <v>9.6000000000000002E-2</v>
      </c>
      <c r="AM25" s="588">
        <v>0.73599999999999999</v>
      </c>
      <c r="AS25" s="147" t="s">
        <v>1519</v>
      </c>
      <c r="AT25" s="585" t="str">
        <f>IF('Upper Extremity-Right'!T168="","",'Upper Extremity-Right'!T168)</f>
        <v/>
      </c>
      <c r="AU25" s="585" t="str">
        <f t="shared" si="0"/>
        <v/>
      </c>
      <c r="AV25" s="194">
        <f>IF(AU25="",0,VLOOKUP(AU25,$A$3:$AM$153,8))</f>
        <v>0</v>
      </c>
      <c r="AX25" s="147" t="s">
        <v>163</v>
      </c>
      <c r="AY25" s="585" t="str">
        <f>IF('Upper Extremity-Right'!V168="","",'Upper Extremity-Right'!V168)</f>
        <v/>
      </c>
      <c r="AZ25" s="585" t="str">
        <f>IF(AY25="","",ROUND(AY25,0))</f>
        <v/>
      </c>
      <c r="BA25" s="194">
        <f>IF(AZ25="",0,VLOOKUP(AZ25,$A$3:$AM$153,8))</f>
        <v>0</v>
      </c>
      <c r="BC25" s="147" t="s">
        <v>1519</v>
      </c>
      <c r="BD25" s="585" t="str">
        <f>IF('Upper Extremity-Left'!T168="","",'Upper Extremity-Left'!T168)</f>
        <v/>
      </c>
      <c r="BE25" s="585" t="str">
        <f>IF(BD25="","",ROUND(BD25,0))</f>
        <v/>
      </c>
      <c r="BF25" s="194">
        <f>IF(BE25="",0,VLOOKUP(BE25,$A$3:$AM$153,8))</f>
        <v>0</v>
      </c>
      <c r="BG25" s="62"/>
      <c r="BH25" s="147" t="s">
        <v>163</v>
      </c>
      <c r="BI25" s="585" t="str">
        <f>IF('Upper Extremity-Left'!V168="","",'Upper Extremity-Left'!V168)</f>
        <v/>
      </c>
      <c r="BJ25" s="585" t="str">
        <f>IF(BI25="","",ROUND(BI25,0))</f>
        <v/>
      </c>
      <c r="BK25" s="194">
        <f>IF(BJ25="",0,VLOOKUP(BJ25,$A$3:$AM$153,8))</f>
        <v>0</v>
      </c>
    </row>
    <row r="26" spans="1:63" ht="15" customHeight="1" x14ac:dyDescent="0.3">
      <c r="A26" s="50">
        <v>23</v>
      </c>
      <c r="B26" s="553">
        <v>0.32200000000000001</v>
      </c>
      <c r="C26" s="553">
        <v>7.1999999999999995E-2</v>
      </c>
      <c r="D26" s="553">
        <v>0.39400000000000002</v>
      </c>
      <c r="E26" s="553">
        <v>0.34</v>
      </c>
      <c r="F26" s="553">
        <v>0.11700000000000001</v>
      </c>
      <c r="G26" s="553">
        <v>0.45700000000000002</v>
      </c>
      <c r="H26" s="553">
        <v>0.30199999999999999</v>
      </c>
      <c r="I26" s="553">
        <v>6.6000000000000003E-2</v>
      </c>
      <c r="J26" s="553">
        <v>0.36799999999999999</v>
      </c>
      <c r="K26" s="588">
        <v>0.46200000000000002</v>
      </c>
      <c r="L26" s="588">
        <f xml:space="preserve"> 8.2%</f>
        <v>8.199999999999999E-2</v>
      </c>
      <c r="M26" s="588">
        <f xml:space="preserve"> 54.4%</f>
        <v>0.54400000000000004</v>
      </c>
      <c r="N26" s="553">
        <v>0.41199999999999998</v>
      </c>
      <c r="O26" s="553">
        <v>5.8999999999999997E-2</v>
      </c>
      <c r="P26" s="553">
        <v>0.47099999999999997</v>
      </c>
      <c r="Q26" s="147">
        <v>0.08</v>
      </c>
      <c r="R26" s="520">
        <v>0.04</v>
      </c>
      <c r="S26" s="147">
        <v>0.04</v>
      </c>
      <c r="T26" s="147">
        <v>0.02</v>
      </c>
      <c r="U26" s="147">
        <v>0.01</v>
      </c>
      <c r="V26" s="588"/>
      <c r="W26" s="588">
        <v>1.4E-2</v>
      </c>
      <c r="X26" s="147"/>
      <c r="Y26" s="588">
        <v>0.27100000000000002</v>
      </c>
      <c r="Z26" s="588">
        <v>5.7000000000000002E-2</v>
      </c>
      <c r="AA26" s="588">
        <v>0.26400000000000001</v>
      </c>
      <c r="AB26" s="588">
        <v>7.3999999999999996E-2</v>
      </c>
      <c r="AC26" s="588">
        <v>0.497</v>
      </c>
      <c r="AD26" s="588"/>
      <c r="AE26" s="147"/>
      <c r="AF26" s="588">
        <v>1.4E-2</v>
      </c>
      <c r="AG26" s="588">
        <v>0.76</v>
      </c>
      <c r="AH26" s="147">
        <v>0.19</v>
      </c>
      <c r="AI26" s="588">
        <v>0.33100000000000002</v>
      </c>
      <c r="AJ26" s="588">
        <v>4.5999999999999999E-2</v>
      </c>
      <c r="AK26" s="588">
        <v>0.61699999999999999</v>
      </c>
      <c r="AL26" s="588">
        <v>9.4E-2</v>
      </c>
      <c r="AM26" s="588">
        <v>0.73899999999999999</v>
      </c>
      <c r="AS26" s="147" t="s">
        <v>164</v>
      </c>
      <c r="AT26" s="585" t="str">
        <f>IF('Upper Extremity-Right'!T169="","",'Upper Extremity-Right'!T169)</f>
        <v/>
      </c>
      <c r="AU26" s="585" t="str">
        <f t="shared" si="0"/>
        <v/>
      </c>
      <c r="AV26" s="194">
        <f>IF(AU26="",0,VLOOKUP(AU26,$A$3:$AM$153,9))</f>
        <v>0</v>
      </c>
      <c r="AX26" s="147" t="s">
        <v>163</v>
      </c>
      <c r="AY26" s="585" t="str">
        <f>IF('Upper Extremity-Right'!V169="","",'Upper Extremity-Right'!V169)</f>
        <v/>
      </c>
      <c r="AZ26" s="585" t="str">
        <f>IF(AY26="","",ROUND(AY26,0))</f>
        <v/>
      </c>
      <c r="BA26" s="194">
        <f>IF(AZ26="",0,VLOOKUP(AZ26,$A$3:$AM$153,9))</f>
        <v>0</v>
      </c>
      <c r="BC26" s="147" t="s">
        <v>164</v>
      </c>
      <c r="BD26" s="585" t="str">
        <f>IF('Upper Extremity-Left'!T169="","",'Upper Extremity-Left'!T169)</f>
        <v/>
      </c>
      <c r="BE26" s="585" t="str">
        <f>IF(BD26="","",ROUND(BD26,0))</f>
        <v/>
      </c>
      <c r="BF26" s="194">
        <f>IF(BE26="",0,VLOOKUP(BE26,$A$3:$AM$153,9))</f>
        <v>0</v>
      </c>
      <c r="BG26" s="62"/>
      <c r="BH26" s="147" t="s">
        <v>163</v>
      </c>
      <c r="BI26" s="585" t="str">
        <f>IF('Upper Extremity-Left'!V169="","",'Upper Extremity-Left'!V169)</f>
        <v/>
      </c>
      <c r="BJ26" s="585" t="str">
        <f>IF(BI26="","",ROUND(BI26,0))</f>
        <v/>
      </c>
      <c r="BK26" s="194">
        <f>IF(BJ26="",0,VLOOKUP(BJ26,$A$3:$AM$153,9))</f>
        <v>0</v>
      </c>
    </row>
    <row r="27" spans="1:63" ht="15" customHeight="1" x14ac:dyDescent="0.3">
      <c r="A27" s="50">
        <v>24</v>
      </c>
      <c r="B27" s="553">
        <v>0.316</v>
      </c>
      <c r="C27" s="553">
        <v>7.5999999999999998E-2</v>
      </c>
      <c r="D27" s="553">
        <v>0.39200000000000002</v>
      </c>
      <c r="E27" s="553">
        <v>0.33</v>
      </c>
      <c r="F27" s="553">
        <v>0.13600000000000001</v>
      </c>
      <c r="G27" s="553">
        <v>0.46600000000000003</v>
      </c>
      <c r="H27" s="553">
        <v>0.29599999999999999</v>
      </c>
      <c r="I27" s="553">
        <v>6.8000000000000005E-2</v>
      </c>
      <c r="J27" s="553">
        <v>0.36399999999999999</v>
      </c>
      <c r="K27" s="588">
        <v>0.45600000000000002</v>
      </c>
      <c r="L27" s="588">
        <f xml:space="preserve"> 8.6%</f>
        <v>8.5999999999999993E-2</v>
      </c>
      <c r="M27" s="588">
        <f xml:space="preserve"> 54.2%</f>
        <v>0.54200000000000004</v>
      </c>
      <c r="N27" s="553">
        <v>0.40600000000000003</v>
      </c>
      <c r="O27" s="553">
        <v>6.2E-2</v>
      </c>
      <c r="P27" s="553">
        <v>0.46800000000000003</v>
      </c>
      <c r="Q27" s="147">
        <v>0.08</v>
      </c>
      <c r="R27" s="520">
        <v>0.04</v>
      </c>
      <c r="S27" s="147">
        <v>0.04</v>
      </c>
      <c r="T27" s="147">
        <v>0.02</v>
      </c>
      <c r="U27" s="147">
        <v>0.01</v>
      </c>
      <c r="V27" s="588"/>
      <c r="W27" s="588">
        <v>1.2E-2</v>
      </c>
      <c r="X27" s="147"/>
      <c r="Y27" s="588">
        <v>0.27800000000000002</v>
      </c>
      <c r="Z27" s="588">
        <v>5.6000000000000001E-2</v>
      </c>
      <c r="AA27" s="588">
        <v>0.26200000000000001</v>
      </c>
      <c r="AB27" s="588">
        <v>7.1999999999999995E-2</v>
      </c>
      <c r="AC27" s="588">
        <v>0.50600000000000001</v>
      </c>
      <c r="AD27" s="588"/>
      <c r="AE27" s="147"/>
      <c r="AF27" s="588">
        <v>1.2E-2</v>
      </c>
      <c r="AG27" s="588">
        <v>0.78</v>
      </c>
      <c r="AH27" s="147">
        <v>0.2</v>
      </c>
      <c r="AI27" s="588">
        <v>0.32800000000000001</v>
      </c>
      <c r="AJ27" s="588">
        <v>4.8000000000000001E-2</v>
      </c>
      <c r="AK27" s="588">
        <v>0.61599999999999999</v>
      </c>
      <c r="AL27" s="588">
        <v>9.1999999999999998E-2</v>
      </c>
      <c r="AM27" s="588">
        <v>0.74199999999999999</v>
      </c>
      <c r="AS27" s="147" t="s">
        <v>165</v>
      </c>
      <c r="AT27" s="585" t="str">
        <f>IF('Upper Extremity-Right'!T170="","",'Upper Extremity-Right'!T170)</f>
        <v/>
      </c>
      <c r="AU27" s="585" t="str">
        <f t="shared" si="0"/>
        <v/>
      </c>
      <c r="AV27" s="194">
        <f>IF(AU27="",0,VLOOKUP(AU27,$A$3:$AM$153,10))</f>
        <v>0</v>
      </c>
      <c r="BC27" s="147" t="s">
        <v>165</v>
      </c>
      <c r="BD27" s="585" t="str">
        <f>IF('Upper Extremity-Left'!T170="","",'Upper Extremity-Left'!T170)</f>
        <v/>
      </c>
      <c r="BE27" s="585" t="str">
        <f>IF(BD27="","",ROUND(BD27,0))</f>
        <v/>
      </c>
      <c r="BF27" s="194">
        <f>IF(BE27="",0,VLOOKUP(BE27,$A$3:$AM$153,10))</f>
        <v>0</v>
      </c>
      <c r="BG27" s="62"/>
      <c r="BH27" s="14"/>
    </row>
    <row r="28" spans="1:63" ht="15" customHeight="1" x14ac:dyDescent="0.3">
      <c r="A28" s="50">
        <v>25</v>
      </c>
      <c r="B28" s="553">
        <v>0.31</v>
      </c>
      <c r="C28" s="553">
        <v>0.08</v>
      </c>
      <c r="D28" s="553">
        <v>0.39</v>
      </c>
      <c r="E28" s="553">
        <v>0.32</v>
      </c>
      <c r="F28" s="553">
        <v>0.155</v>
      </c>
      <c r="G28" s="553">
        <v>0.47499999999999998</v>
      </c>
      <c r="H28" s="553">
        <v>0.28999999999999998</v>
      </c>
      <c r="I28" s="553">
        <v>7.0000000000000007E-2</v>
      </c>
      <c r="J28" s="553">
        <v>0.36</v>
      </c>
      <c r="K28" s="588">
        <v>0.45</v>
      </c>
      <c r="L28" s="588">
        <f xml:space="preserve"> 9%</f>
        <v>0.09</v>
      </c>
      <c r="M28" s="588">
        <f xml:space="preserve"> 54%</f>
        <v>0.54</v>
      </c>
      <c r="N28" s="553">
        <v>0.4</v>
      </c>
      <c r="O28" s="553">
        <v>6.5000000000000002E-2</v>
      </c>
      <c r="P28" s="553">
        <v>0.46500000000000002</v>
      </c>
      <c r="Q28" s="147">
        <v>0.08</v>
      </c>
      <c r="R28" s="520">
        <v>0.04</v>
      </c>
      <c r="S28" s="147">
        <v>0.04</v>
      </c>
      <c r="T28" s="147">
        <v>0.02</v>
      </c>
      <c r="U28" s="147">
        <v>0.01</v>
      </c>
      <c r="V28" s="588"/>
      <c r="W28" s="588">
        <v>0.01</v>
      </c>
      <c r="X28" s="147"/>
      <c r="Y28" s="588">
        <v>0.28499999999999998</v>
      </c>
      <c r="Z28" s="588">
        <v>5.5E-2</v>
      </c>
      <c r="AA28" s="588">
        <v>0.26</v>
      </c>
      <c r="AB28" s="588">
        <v>7.0000000000000007E-2</v>
      </c>
      <c r="AC28" s="588">
        <v>0.51500000000000001</v>
      </c>
      <c r="AD28" s="588"/>
      <c r="AE28" s="147"/>
      <c r="AF28" s="588">
        <v>0.01</v>
      </c>
      <c r="AG28" s="588">
        <v>0.8</v>
      </c>
      <c r="AH28" s="147">
        <v>0.2</v>
      </c>
      <c r="AI28" s="588">
        <v>0.32500000000000001</v>
      </c>
      <c r="AJ28" s="588">
        <v>0.05</v>
      </c>
      <c r="AK28" s="588">
        <v>0.61499999999999999</v>
      </c>
      <c r="AL28" s="588">
        <v>0.09</v>
      </c>
      <c r="AM28" s="588">
        <v>0.745</v>
      </c>
      <c r="BC28" s="147"/>
      <c r="BD28" s="62"/>
      <c r="BE28" s="62"/>
      <c r="BG28" s="62"/>
      <c r="BH28" s="14"/>
    </row>
    <row r="29" spans="1:63" ht="15" customHeight="1" x14ac:dyDescent="0.3">
      <c r="A29" s="50">
        <v>26</v>
      </c>
      <c r="B29" s="553">
        <v>0.30399999999999999</v>
      </c>
      <c r="C29" s="553">
        <v>8.4000000000000005E-2</v>
      </c>
      <c r="D29" s="553">
        <v>0.38800000000000001</v>
      </c>
      <c r="E29" s="553">
        <v>0.31</v>
      </c>
      <c r="F29" s="553">
        <v>0.17399999999999999</v>
      </c>
      <c r="G29" s="553">
        <v>0.48399999999999999</v>
      </c>
      <c r="H29" s="553">
        <v>0.28399999999999997</v>
      </c>
      <c r="I29" s="553">
        <v>7.1999999999999995E-2</v>
      </c>
      <c r="J29" s="553">
        <v>0.35599999999999998</v>
      </c>
      <c r="K29" s="588">
        <v>0.44400000000000001</v>
      </c>
      <c r="L29" s="588">
        <f xml:space="preserve"> 9.4%</f>
        <v>9.4E-2</v>
      </c>
      <c r="M29" s="588">
        <f xml:space="preserve"> 53.8%</f>
        <v>0.53799999999999992</v>
      </c>
      <c r="N29" s="553">
        <v>0.39400000000000002</v>
      </c>
      <c r="O29" s="553">
        <v>6.8000000000000005E-2</v>
      </c>
      <c r="P29" s="553">
        <v>0.46200000000000002</v>
      </c>
      <c r="Q29" s="147">
        <v>0.09</v>
      </c>
      <c r="R29" s="520">
        <v>0.05</v>
      </c>
      <c r="S29" s="147">
        <v>0.04</v>
      </c>
      <c r="T29" s="147">
        <v>0.02</v>
      </c>
      <c r="U29" s="147">
        <v>0.02</v>
      </c>
      <c r="V29" s="588"/>
      <c r="W29" s="588">
        <v>8.0000000000000002E-3</v>
      </c>
      <c r="X29" s="147"/>
      <c r="Y29" s="588">
        <v>0.29199999999999998</v>
      </c>
      <c r="Z29" s="588">
        <v>5.3999999999999999E-2</v>
      </c>
      <c r="AA29" s="588">
        <v>0.25800000000000001</v>
      </c>
      <c r="AB29" s="588">
        <v>6.8000000000000005E-2</v>
      </c>
      <c r="AC29" s="588">
        <v>0.52400000000000002</v>
      </c>
      <c r="AD29" s="588"/>
      <c r="AE29" s="147"/>
      <c r="AF29" s="588">
        <v>8.0000000000000002E-3</v>
      </c>
      <c r="AG29" s="588">
        <v>0.82</v>
      </c>
      <c r="AH29" s="147">
        <v>0.21</v>
      </c>
      <c r="AI29" s="588">
        <v>0.32200000000000001</v>
      </c>
      <c r="AJ29" s="588">
        <v>5.1999999999999998E-2</v>
      </c>
      <c r="AK29" s="588">
        <v>0.61399999999999999</v>
      </c>
      <c r="AL29" s="588">
        <v>8.7999999999999995E-2</v>
      </c>
      <c r="AM29" s="588">
        <v>0.748</v>
      </c>
      <c r="AS29" s="147" t="s">
        <v>641</v>
      </c>
      <c r="AT29" s="585" t="str">
        <f>IF('Upper Extremity-Right'!T172="","",'Upper Extremity-Right'!T172)</f>
        <v/>
      </c>
      <c r="AU29" s="585" t="str">
        <f t="shared" si="0"/>
        <v/>
      </c>
      <c r="AV29" s="194">
        <f>IF(AU29="",0,VLOOKUP(AU29,$A$3:$AM$153,11))</f>
        <v>0</v>
      </c>
      <c r="AX29" s="147" t="s">
        <v>642</v>
      </c>
      <c r="AY29" s="585" t="str">
        <f>IF('Upper Extremity-Right'!V172="","",'Upper Extremity-Right'!V172)</f>
        <v/>
      </c>
      <c r="AZ29" s="585" t="str">
        <f>IF(AY29="","",ROUND(AY29,0))</f>
        <v/>
      </c>
      <c r="BA29" s="194">
        <f>IF(AZ29="",0,VLOOKUP(AZ29,$A$3:$AM$153,11))</f>
        <v>0</v>
      </c>
      <c r="BC29" s="147" t="s">
        <v>641</v>
      </c>
      <c r="BD29" s="585" t="str">
        <f>IF('Upper Extremity-Left'!T172="","",'Upper Extremity-Left'!T172)</f>
        <v/>
      </c>
      <c r="BE29" s="585" t="str">
        <f>IF(BD29="","",ROUND(BD29,0))</f>
        <v/>
      </c>
      <c r="BF29" s="194">
        <f>IF(BE29="",0,VLOOKUP(BE29,$A$3:$AM$153,11))</f>
        <v>0</v>
      </c>
      <c r="BG29" s="62"/>
      <c r="BH29" s="147" t="s">
        <v>642</v>
      </c>
      <c r="BI29" s="585" t="str">
        <f>IF('Upper Extremity-Left'!V172="","",'Upper Extremity-Left'!V172)</f>
        <v/>
      </c>
      <c r="BJ29" s="585" t="str">
        <f>IF(BI29="","",ROUND(BI29,0))</f>
        <v/>
      </c>
      <c r="BK29" s="194">
        <f>IF(BJ29="",0,VLOOKUP(BJ29,$A$3:$AM$153,11))</f>
        <v>0</v>
      </c>
    </row>
    <row r="30" spans="1:63" ht="15" customHeight="1" x14ac:dyDescent="0.3">
      <c r="A30" s="50">
        <v>27</v>
      </c>
      <c r="B30" s="553">
        <v>0.29799999999999999</v>
      </c>
      <c r="C30" s="553">
        <v>8.7999999999999995E-2</v>
      </c>
      <c r="D30" s="553">
        <v>0.38600000000000001</v>
      </c>
      <c r="E30" s="553">
        <v>0.3</v>
      </c>
      <c r="F30" s="553">
        <v>0.193</v>
      </c>
      <c r="G30" s="553">
        <v>0.49299999999999999</v>
      </c>
      <c r="H30" s="553">
        <v>0.27800000000000002</v>
      </c>
      <c r="I30" s="553">
        <v>7.3999999999999996E-2</v>
      </c>
      <c r="J30" s="553">
        <v>0.35199999999999998</v>
      </c>
      <c r="K30" s="588">
        <v>0.438</v>
      </c>
      <c r="L30" s="588">
        <f xml:space="preserve"> 9.8%</f>
        <v>9.8000000000000004E-2</v>
      </c>
      <c r="M30" s="588">
        <f xml:space="preserve"> 53.6%</f>
        <v>0.53600000000000003</v>
      </c>
      <c r="N30" s="553">
        <v>0.38800000000000001</v>
      </c>
      <c r="O30" s="553">
        <v>7.0999999999999994E-2</v>
      </c>
      <c r="P30" s="553">
        <v>0.45900000000000002</v>
      </c>
      <c r="Q30" s="147">
        <v>0.09</v>
      </c>
      <c r="R30" s="520">
        <v>0.05</v>
      </c>
      <c r="S30" s="147">
        <v>0.04</v>
      </c>
      <c r="T30" s="147">
        <v>0.02</v>
      </c>
      <c r="U30" s="147">
        <v>0.02</v>
      </c>
      <c r="V30" s="588"/>
      <c r="W30" s="588">
        <v>6.0000000000000001E-3</v>
      </c>
      <c r="X30" s="147"/>
      <c r="Y30" s="588">
        <v>0.29899999999999999</v>
      </c>
      <c r="Z30" s="588">
        <v>5.2999999999999999E-2</v>
      </c>
      <c r="AA30" s="588">
        <v>0.25600000000000001</v>
      </c>
      <c r="AB30" s="588">
        <v>6.6000000000000003E-2</v>
      </c>
      <c r="AC30" s="588">
        <v>0.53300000000000003</v>
      </c>
      <c r="AD30" s="588"/>
      <c r="AE30" s="147"/>
      <c r="AF30" s="588">
        <v>6.0000000000000001E-3</v>
      </c>
      <c r="AG30" s="588">
        <v>0.84</v>
      </c>
      <c r="AH30" s="147">
        <v>0.22</v>
      </c>
      <c r="AI30" s="588">
        <v>0.31900000000000001</v>
      </c>
      <c r="AJ30" s="588">
        <v>5.3999999999999999E-2</v>
      </c>
      <c r="AK30" s="588">
        <v>0.61299999999999999</v>
      </c>
      <c r="AL30" s="588">
        <v>8.5999999999999993E-2</v>
      </c>
      <c r="AM30" s="588">
        <v>0.751</v>
      </c>
      <c r="AS30" s="147" t="s">
        <v>455</v>
      </c>
      <c r="AT30" s="585" t="str">
        <f>IF('Upper Extremity-Right'!T173="","",'Upper Extremity-Right'!T173)</f>
        <v/>
      </c>
      <c r="AU30" s="585" t="str">
        <f t="shared" si="0"/>
        <v/>
      </c>
      <c r="AV30" s="194">
        <f>IF(AU30="",0,VLOOKUP(AU30,$A$3:$AM$153,12))</f>
        <v>0</v>
      </c>
      <c r="AX30" s="147" t="s">
        <v>642</v>
      </c>
      <c r="AY30" s="585" t="str">
        <f>IF('Upper Extremity-Right'!V173="","",'Upper Extremity-Right'!V173)</f>
        <v/>
      </c>
      <c r="AZ30" s="585" t="str">
        <f>IF(AY30="","",ROUND(AY30,0))</f>
        <v/>
      </c>
      <c r="BA30" s="194">
        <f>IF(AZ30="",0,VLOOKUP(AZ30,$A$3:$AM$153,12))</f>
        <v>0</v>
      </c>
      <c r="BC30" s="147" t="s">
        <v>455</v>
      </c>
      <c r="BD30" s="585" t="str">
        <f>IF('Upper Extremity-Left'!T173="","",'Upper Extremity-Left'!T173)</f>
        <v/>
      </c>
      <c r="BE30" s="585" t="str">
        <f>IF(BD30="","",ROUND(BD30,0))</f>
        <v/>
      </c>
      <c r="BF30" s="194">
        <f>IF(BE30="",0,VLOOKUP(BE30,$A$3:$AM$153,12))</f>
        <v>0</v>
      </c>
      <c r="BG30" s="62"/>
      <c r="BH30" s="147" t="s">
        <v>642</v>
      </c>
      <c r="BI30" s="585" t="str">
        <f>IF('Upper Extremity-Left'!V173="","",'Upper Extremity-Left'!V173)</f>
        <v/>
      </c>
      <c r="BJ30" s="585" t="str">
        <f>IF(BI30="","",ROUND(BI30,0))</f>
        <v/>
      </c>
      <c r="BK30" s="194">
        <f>IF(BJ30="",0,VLOOKUP(BJ30,$A$3:$AM$153,12))</f>
        <v>0</v>
      </c>
    </row>
    <row r="31" spans="1:63" ht="15" customHeight="1" x14ac:dyDescent="0.3">
      <c r="A31" s="50">
        <v>28</v>
      </c>
      <c r="B31" s="553">
        <v>0.29199999999999998</v>
      </c>
      <c r="C31" s="553">
        <v>9.1999999999999998E-2</v>
      </c>
      <c r="D31" s="553">
        <v>0.38400000000000001</v>
      </c>
      <c r="E31" s="553">
        <v>0.28999999999999998</v>
      </c>
      <c r="F31" s="553">
        <v>0.21199999999999999</v>
      </c>
      <c r="G31" s="553">
        <v>0.502</v>
      </c>
      <c r="H31" s="553">
        <v>0.27200000000000002</v>
      </c>
      <c r="I31" s="553">
        <v>7.5999999999999998E-2</v>
      </c>
      <c r="J31" s="553">
        <v>0.34799999999999998</v>
      </c>
      <c r="K31" s="588">
        <v>0.432</v>
      </c>
      <c r="L31" s="588">
        <f xml:space="preserve"> 10.2%</f>
        <v>0.10199999999999999</v>
      </c>
      <c r="M31" s="588">
        <f xml:space="preserve"> 53.4%</f>
        <v>0.53400000000000003</v>
      </c>
      <c r="N31" s="553">
        <v>0.38200000000000001</v>
      </c>
      <c r="O31" s="553">
        <v>7.3999999999999996E-2</v>
      </c>
      <c r="P31" s="553">
        <v>0.45600000000000002</v>
      </c>
      <c r="Q31" s="147">
        <v>0.09</v>
      </c>
      <c r="R31" s="520">
        <v>0.05</v>
      </c>
      <c r="S31" s="147">
        <v>0.05</v>
      </c>
      <c r="T31" s="147">
        <v>0.02</v>
      </c>
      <c r="U31" s="147">
        <v>0.02</v>
      </c>
      <c r="V31" s="588"/>
      <c r="W31" s="588">
        <v>4.0000000000000001E-3</v>
      </c>
      <c r="X31" s="147"/>
      <c r="Y31" s="588">
        <v>0.30599999999999999</v>
      </c>
      <c r="Z31" s="588">
        <v>5.1999999999999998E-2</v>
      </c>
      <c r="AA31" s="588">
        <v>0.254</v>
      </c>
      <c r="AB31" s="588">
        <v>6.4000000000000001E-2</v>
      </c>
      <c r="AC31" s="588">
        <v>0.54200000000000004</v>
      </c>
      <c r="AD31" s="588"/>
      <c r="AE31" s="147"/>
      <c r="AF31" s="588">
        <v>4.0000000000000001E-3</v>
      </c>
      <c r="AG31" s="588">
        <v>0.86</v>
      </c>
      <c r="AH31" s="147">
        <v>0.23</v>
      </c>
      <c r="AI31" s="588">
        <v>0.316</v>
      </c>
      <c r="AJ31" s="588">
        <v>5.6000000000000001E-2</v>
      </c>
      <c r="AK31" s="588">
        <v>0.61199999999999999</v>
      </c>
      <c r="AL31" s="588">
        <v>8.4000000000000005E-2</v>
      </c>
      <c r="AM31" s="588">
        <v>0.754</v>
      </c>
      <c r="AS31" s="147" t="s">
        <v>456</v>
      </c>
      <c r="AT31" s="585" t="str">
        <f>IF('Upper Extremity-Right'!T174="","",'Upper Extremity-Right'!T174)</f>
        <v/>
      </c>
      <c r="AU31" s="585" t="str">
        <f t="shared" si="0"/>
        <v/>
      </c>
      <c r="AV31" s="194">
        <f>IF(AU31="",0,VLOOKUP(AU31,$A$3:$AM$153,13))</f>
        <v>0</v>
      </c>
      <c r="BC31" s="147" t="s">
        <v>456</v>
      </c>
      <c r="BD31" s="585" t="str">
        <f>IF('Upper Extremity-Left'!T174="","",'Upper Extremity-Left'!T174)</f>
        <v/>
      </c>
      <c r="BE31" s="585" t="str">
        <f>IF(BD31="","",ROUND(BD31,0))</f>
        <v/>
      </c>
      <c r="BF31" s="194">
        <f>IF(BE31="",0,VLOOKUP(BE31,$A$3:$AM$153,13))</f>
        <v>0</v>
      </c>
      <c r="BG31" s="62"/>
      <c r="BH31" s="14"/>
    </row>
    <row r="32" spans="1:63" ht="15" customHeight="1" x14ac:dyDescent="0.3">
      <c r="A32" s="50">
        <v>29</v>
      </c>
      <c r="B32" s="553">
        <v>0.28599999999999998</v>
      </c>
      <c r="C32" s="553">
        <v>9.6000000000000002E-2</v>
      </c>
      <c r="D32" s="553">
        <v>0.38200000000000001</v>
      </c>
      <c r="E32" s="553">
        <v>0.28000000000000003</v>
      </c>
      <c r="F32" s="553">
        <v>0.23100000000000001</v>
      </c>
      <c r="G32" s="553">
        <v>0.51100000000000001</v>
      </c>
      <c r="H32" s="553">
        <v>0.26600000000000001</v>
      </c>
      <c r="I32" s="553">
        <v>7.8E-2</v>
      </c>
      <c r="J32" s="553">
        <v>0.34399999999999997</v>
      </c>
      <c r="K32" s="588">
        <v>0.42599999999999999</v>
      </c>
      <c r="L32" s="588">
        <f xml:space="preserve"> 10.6%</f>
        <v>0.106</v>
      </c>
      <c r="M32" s="588">
        <f xml:space="preserve"> 53.2%</f>
        <v>0.53200000000000003</v>
      </c>
      <c r="N32" s="553">
        <v>0.376</v>
      </c>
      <c r="O32" s="553">
        <v>7.6999999999999999E-2</v>
      </c>
      <c r="P32" s="553">
        <v>0.45300000000000001</v>
      </c>
      <c r="Q32" s="147">
        <v>0.1</v>
      </c>
      <c r="R32" s="520">
        <v>0.05</v>
      </c>
      <c r="S32" s="147">
        <v>0.05</v>
      </c>
      <c r="T32" s="147">
        <v>0.02</v>
      </c>
      <c r="U32" s="147">
        <v>0.02</v>
      </c>
      <c r="V32" s="588"/>
      <c r="W32" s="588">
        <v>2E-3</v>
      </c>
      <c r="X32" s="147"/>
      <c r="Y32" s="588">
        <v>0.313</v>
      </c>
      <c r="Z32" s="588">
        <v>5.0999999999999997E-2</v>
      </c>
      <c r="AA32" s="588">
        <v>0.252</v>
      </c>
      <c r="AB32" s="588">
        <v>6.2E-2</v>
      </c>
      <c r="AC32" s="588">
        <v>0.55100000000000005</v>
      </c>
      <c r="AD32" s="588"/>
      <c r="AE32" s="147"/>
      <c r="AF32" s="588">
        <v>2E-3</v>
      </c>
      <c r="AG32" s="588">
        <v>0.88</v>
      </c>
      <c r="AH32" s="147">
        <v>0.23</v>
      </c>
      <c r="AI32" s="588">
        <v>0.313</v>
      </c>
      <c r="AJ32" s="588">
        <v>5.8000000000000003E-2</v>
      </c>
      <c r="AK32" s="588">
        <v>0.61099999999999999</v>
      </c>
      <c r="AL32" s="588">
        <v>8.2000000000000003E-2</v>
      </c>
      <c r="AM32" s="588">
        <v>0.75700000000000001</v>
      </c>
      <c r="BC32" s="147"/>
      <c r="BD32" s="62"/>
      <c r="BE32" s="62"/>
      <c r="BG32" s="62"/>
      <c r="BH32" s="14"/>
    </row>
    <row r="33" spans="1:63" ht="15" customHeight="1" x14ac:dyDescent="0.3">
      <c r="A33" s="50">
        <v>30</v>
      </c>
      <c r="B33" s="553">
        <v>0.28000000000000003</v>
      </c>
      <c r="C33" s="553">
        <v>0.1</v>
      </c>
      <c r="D33" s="553">
        <v>0.38</v>
      </c>
      <c r="E33" s="553">
        <v>0.27</v>
      </c>
      <c r="F33" s="553">
        <v>0.25</v>
      </c>
      <c r="G33" s="553">
        <v>0.52</v>
      </c>
      <c r="H33" s="553">
        <v>0.26</v>
      </c>
      <c r="I33" s="553">
        <v>0.08</v>
      </c>
      <c r="J33" s="553">
        <v>0.34</v>
      </c>
      <c r="K33" s="588">
        <v>0.42</v>
      </c>
      <c r="L33" s="588">
        <f xml:space="preserve"> 11%</f>
        <v>0.11</v>
      </c>
      <c r="M33" s="588">
        <f xml:space="preserve"> 53%</f>
        <v>0.53</v>
      </c>
      <c r="N33" s="553">
        <v>0.37</v>
      </c>
      <c r="O33" s="553">
        <v>0.08</v>
      </c>
      <c r="P33" s="553">
        <v>0.45</v>
      </c>
      <c r="Q33" s="147">
        <v>0.1</v>
      </c>
      <c r="R33" s="520">
        <v>0.05</v>
      </c>
      <c r="S33" s="147">
        <v>0.05</v>
      </c>
      <c r="T33" s="147">
        <v>0.02</v>
      </c>
      <c r="U33" s="147">
        <v>0.02</v>
      </c>
      <c r="V33" s="588"/>
      <c r="W33" s="588">
        <v>0</v>
      </c>
      <c r="X33" s="147"/>
      <c r="Y33" s="588">
        <v>0.32</v>
      </c>
      <c r="Z33" s="588">
        <v>0.05</v>
      </c>
      <c r="AA33" s="588">
        <v>0.25</v>
      </c>
      <c r="AB33" s="588">
        <v>0.06</v>
      </c>
      <c r="AC33" s="588">
        <v>0.56000000000000005</v>
      </c>
      <c r="AD33" s="588"/>
      <c r="AE33" s="147"/>
      <c r="AF33" s="588">
        <v>0</v>
      </c>
      <c r="AG33" s="588">
        <v>0.9</v>
      </c>
      <c r="AH33" s="147">
        <v>0.24</v>
      </c>
      <c r="AI33" s="588">
        <v>0.31</v>
      </c>
      <c r="AJ33" s="588">
        <v>0.06</v>
      </c>
      <c r="AK33" s="588">
        <v>0.61</v>
      </c>
      <c r="AL33" s="588">
        <v>0.08</v>
      </c>
      <c r="AM33" s="588">
        <v>0.76</v>
      </c>
      <c r="AS33" s="147" t="s">
        <v>457</v>
      </c>
      <c r="AT33" s="585" t="str">
        <f>IF('Upper Extremity-Right'!T176="","",'Upper Extremity-Right'!T176)</f>
        <v/>
      </c>
      <c r="AU33" s="585" t="str">
        <f t="shared" si="0"/>
        <v/>
      </c>
      <c r="AV33" s="194">
        <f>IF(AU33="",0,VLOOKUP(AU33,$A$3:$AM$153,14))</f>
        <v>0</v>
      </c>
      <c r="AX33" s="147" t="s">
        <v>458</v>
      </c>
      <c r="AY33" s="585" t="str">
        <f>IF('Upper Extremity-Right'!V176="","",'Upper Extremity-Right'!V176)</f>
        <v/>
      </c>
      <c r="AZ33" s="585" t="str">
        <f>IF(AY33="","",ROUND(AY33,0))</f>
        <v/>
      </c>
      <c r="BA33" s="194">
        <f>IF(AZ33="",0,VLOOKUP(AZ33,$A$3:$AM$153,14))</f>
        <v>0</v>
      </c>
      <c r="BC33" s="147" t="s">
        <v>457</v>
      </c>
      <c r="BD33" s="585" t="str">
        <f>IF('Upper Extremity-Left'!T176="","",'Upper Extremity-Left'!T176)</f>
        <v/>
      </c>
      <c r="BE33" s="585" t="str">
        <f>IF(BD33="","",ROUND(BD33,0))</f>
        <v/>
      </c>
      <c r="BF33" s="194">
        <f>IF(BE33="",0,VLOOKUP(BE33,$A$3:$AM$153,14))</f>
        <v>0</v>
      </c>
      <c r="BG33" s="62"/>
      <c r="BH33" s="147" t="s">
        <v>458</v>
      </c>
      <c r="BI33" s="585" t="str">
        <f>IF('Upper Extremity-Left'!V176="","",'Upper Extremity-Left'!V176)</f>
        <v/>
      </c>
      <c r="BJ33" s="585" t="str">
        <f>IF(BI33="","",ROUND(BI33,0))</f>
        <v/>
      </c>
      <c r="BK33" s="194">
        <f>IF(BJ33="",0,VLOOKUP(BJ33,$A$3:$AM$153,14))</f>
        <v>0</v>
      </c>
    </row>
    <row r="34" spans="1:63" ht="15" customHeight="1" x14ac:dyDescent="0.3">
      <c r="A34" s="50">
        <v>31</v>
      </c>
      <c r="B34" s="553">
        <v>0.27500000000000002</v>
      </c>
      <c r="C34" s="553">
        <v>0.10199999999999999</v>
      </c>
      <c r="D34" s="553">
        <v>0.377</v>
      </c>
      <c r="E34" s="553">
        <v>0.26100000000000001</v>
      </c>
      <c r="F34" s="553">
        <v>0.26800000000000002</v>
      </c>
      <c r="G34" s="553">
        <v>0.52900000000000003</v>
      </c>
      <c r="H34" s="553">
        <v>0.253</v>
      </c>
      <c r="I34" s="553">
        <v>8.3000000000000004E-2</v>
      </c>
      <c r="J34" s="553">
        <v>0.33600000000000002</v>
      </c>
      <c r="K34" s="588">
        <v>0.41399999999999998</v>
      </c>
      <c r="L34" s="588">
        <f xml:space="preserve"> 11.3%</f>
        <v>0.113</v>
      </c>
      <c r="M34" s="588">
        <f xml:space="preserve"> 52.7%</f>
        <v>0.52700000000000002</v>
      </c>
      <c r="N34" s="553">
        <v>0.36399999999999999</v>
      </c>
      <c r="O34" s="553">
        <v>9.5000000000000001E-2</v>
      </c>
      <c r="P34" s="553">
        <v>0.45900000000000002</v>
      </c>
      <c r="Q34" s="147">
        <v>0.1</v>
      </c>
      <c r="R34" s="520">
        <v>0.05</v>
      </c>
      <c r="S34" s="147">
        <v>0.05</v>
      </c>
      <c r="T34" s="147">
        <v>0.03</v>
      </c>
      <c r="U34" s="147">
        <v>0.02</v>
      </c>
      <c r="V34" s="588"/>
      <c r="W34" s="588"/>
      <c r="X34" s="147"/>
      <c r="Y34" s="588"/>
      <c r="Z34" s="588">
        <v>4.8000000000000001E-2</v>
      </c>
      <c r="AA34" s="588">
        <v>0.27200000000000002</v>
      </c>
      <c r="AB34" s="588">
        <v>5.8999999999999997E-2</v>
      </c>
      <c r="AC34" s="588">
        <v>0.56799999999999995</v>
      </c>
      <c r="AD34" s="588"/>
      <c r="AE34" s="147"/>
      <c r="AF34" s="588"/>
      <c r="AG34" s="588"/>
      <c r="AH34" s="147">
        <v>0.25</v>
      </c>
      <c r="AI34" s="588">
        <v>0.308</v>
      </c>
      <c r="AJ34" s="588">
        <v>6.2E-2</v>
      </c>
      <c r="AK34" s="588">
        <v>0.60799999999999998</v>
      </c>
      <c r="AL34" s="588">
        <v>7.9000000000000001E-2</v>
      </c>
      <c r="AM34" s="588">
        <v>0.76400000000000001</v>
      </c>
      <c r="AS34" s="147" t="s">
        <v>459</v>
      </c>
      <c r="AT34" s="585" t="str">
        <f>IF('Upper Extremity-Right'!T177="","",'Upper Extremity-Right'!T177)</f>
        <v/>
      </c>
      <c r="AU34" s="585" t="str">
        <f t="shared" si="0"/>
        <v/>
      </c>
      <c r="AV34" s="194">
        <f>IF(AU34="",0,VLOOKUP(AU34,$A$3:$AM$153,15))</f>
        <v>0</v>
      </c>
      <c r="AX34" s="147" t="s">
        <v>458</v>
      </c>
      <c r="AY34" s="585" t="str">
        <f>IF('Upper Extremity-Right'!V177="","",'Upper Extremity-Right'!V177)</f>
        <v/>
      </c>
      <c r="AZ34" s="585" t="str">
        <f>IF(AY34="","",ROUND(AY34,0))</f>
        <v/>
      </c>
      <c r="BA34" s="194">
        <f>IF(AZ34="",0,VLOOKUP(AZ34,$A$3:$AM$153,15))</f>
        <v>0</v>
      </c>
      <c r="BC34" s="147" t="s">
        <v>459</v>
      </c>
      <c r="BD34" s="585" t="str">
        <f>IF('Upper Extremity-Left'!T177="","",'Upper Extremity-Left'!T177)</f>
        <v/>
      </c>
      <c r="BE34" s="585" t="str">
        <f>IF(BD34="","",ROUND(BD34,0))</f>
        <v/>
      </c>
      <c r="BF34" s="194">
        <f>IF(BE34="",0,VLOOKUP(BE34,$A$3:$AM$153,15))</f>
        <v>0</v>
      </c>
      <c r="BG34" s="62"/>
      <c r="BH34" s="147" t="s">
        <v>458</v>
      </c>
      <c r="BI34" s="585" t="str">
        <f>IF('Upper Extremity-Left'!V177="","",'Upper Extremity-Left'!V177)</f>
        <v/>
      </c>
      <c r="BJ34" s="585" t="str">
        <f>IF(BI34="","",ROUND(BI34,0))</f>
        <v/>
      </c>
      <c r="BK34" s="194">
        <f>IF(BJ34="",0,VLOOKUP(BJ34,$A$3:$AM$153,15))</f>
        <v>0</v>
      </c>
    </row>
    <row r="35" spans="1:63" ht="15" customHeight="1" x14ac:dyDescent="0.3">
      <c r="A35" s="50">
        <v>32</v>
      </c>
      <c r="B35" s="553">
        <v>0.27</v>
      </c>
      <c r="C35" s="553">
        <v>0.104</v>
      </c>
      <c r="D35" s="553">
        <v>0.374</v>
      </c>
      <c r="E35" s="553">
        <v>0.252</v>
      </c>
      <c r="F35" s="553">
        <v>0.28599999999999998</v>
      </c>
      <c r="G35" s="553">
        <v>0.53800000000000003</v>
      </c>
      <c r="H35" s="553">
        <v>0.246</v>
      </c>
      <c r="I35" s="553">
        <v>8.5999999999999993E-2</v>
      </c>
      <c r="J35" s="553">
        <v>0.33200000000000002</v>
      </c>
      <c r="K35" s="588">
        <v>0.40799999999999997</v>
      </c>
      <c r="L35" s="588">
        <f xml:space="preserve"> 11.6%</f>
        <v>0.11599999999999999</v>
      </c>
      <c r="M35" s="588">
        <f xml:space="preserve"> 52.4%</f>
        <v>0.52400000000000002</v>
      </c>
      <c r="N35" s="553">
        <v>0.35799999999999998</v>
      </c>
      <c r="O35" s="553">
        <v>0.11</v>
      </c>
      <c r="P35" s="553">
        <v>0.46800000000000003</v>
      </c>
      <c r="Q35" s="147">
        <v>0.11</v>
      </c>
      <c r="R35" s="520">
        <v>0.06</v>
      </c>
      <c r="S35" s="147">
        <v>0.05</v>
      </c>
      <c r="T35" s="147">
        <v>0.03</v>
      </c>
      <c r="U35" s="147">
        <v>0.02</v>
      </c>
      <c r="V35" s="588"/>
      <c r="W35" s="588"/>
      <c r="X35" s="147"/>
      <c r="Y35" s="588"/>
      <c r="Z35" s="588">
        <v>4.5999999999999999E-2</v>
      </c>
      <c r="AA35" s="588">
        <v>0.29399999999999998</v>
      </c>
      <c r="AB35" s="588">
        <v>5.8000000000000003E-2</v>
      </c>
      <c r="AC35" s="588">
        <v>0.57599999999999996</v>
      </c>
      <c r="AD35" s="588"/>
      <c r="AE35" s="147"/>
      <c r="AF35" s="588"/>
      <c r="AG35" s="588"/>
      <c r="AH35" s="147">
        <v>0.26</v>
      </c>
      <c r="AI35" s="588">
        <v>0.30599999999999999</v>
      </c>
      <c r="AJ35" s="588">
        <v>6.4000000000000001E-2</v>
      </c>
      <c r="AK35" s="588">
        <v>0.60599999999999998</v>
      </c>
      <c r="AL35" s="588">
        <v>7.8E-2</v>
      </c>
      <c r="AM35" s="588">
        <v>0.76800000000000002</v>
      </c>
      <c r="AS35" s="147" t="s">
        <v>460</v>
      </c>
      <c r="AT35" s="585" t="str">
        <f>IF('Upper Extremity-Right'!T178="","",'Upper Extremity-Right'!T178)</f>
        <v/>
      </c>
      <c r="AU35" s="585" t="str">
        <f t="shared" si="0"/>
        <v/>
      </c>
      <c r="AV35" s="194">
        <f>IF(AU35="",0,VLOOKUP(AU35,$A$3:$AM$153,16))</f>
        <v>0</v>
      </c>
      <c r="BC35" s="147" t="s">
        <v>460</v>
      </c>
      <c r="BD35" s="585" t="str">
        <f>IF('Upper Extremity-Left'!T178="","",'Upper Extremity-Left'!T178)</f>
        <v/>
      </c>
      <c r="BE35" s="585" t="str">
        <f>IF(BD35="","",ROUND(BD35,0))</f>
        <v/>
      </c>
      <c r="BF35" s="194">
        <f>IF(BE35="",0,VLOOKUP(BE35,$A$3:$AM$153,16))</f>
        <v>0</v>
      </c>
      <c r="BG35" s="62"/>
      <c r="BH35" s="14"/>
    </row>
    <row r="36" spans="1:63" ht="15" customHeight="1" x14ac:dyDescent="0.3">
      <c r="A36" s="50">
        <v>33</v>
      </c>
      <c r="B36" s="553">
        <v>0.26500000000000001</v>
      </c>
      <c r="C36" s="553">
        <v>0.106</v>
      </c>
      <c r="D36" s="553">
        <v>0.371</v>
      </c>
      <c r="E36" s="553">
        <v>0.24299999999999999</v>
      </c>
      <c r="F36" s="553">
        <v>0.30399999999999999</v>
      </c>
      <c r="G36" s="553">
        <v>0.54700000000000004</v>
      </c>
      <c r="H36" s="553">
        <v>0.23899999999999999</v>
      </c>
      <c r="I36" s="553">
        <v>8.8999999999999996E-2</v>
      </c>
      <c r="J36" s="553">
        <v>0.32800000000000001</v>
      </c>
      <c r="K36" s="588">
        <v>0.40200000000000002</v>
      </c>
      <c r="L36" s="588">
        <f xml:space="preserve"> 11.9%</f>
        <v>0.11900000000000001</v>
      </c>
      <c r="M36" s="588">
        <f xml:space="preserve"> 52.1%</f>
        <v>0.52100000000000002</v>
      </c>
      <c r="N36" s="553">
        <v>0.35199999999999998</v>
      </c>
      <c r="O36" s="553">
        <v>0.125</v>
      </c>
      <c r="P36" s="553">
        <v>0.47699999999999998</v>
      </c>
      <c r="Q36" s="147">
        <v>0.11</v>
      </c>
      <c r="R36" s="520">
        <v>0.06</v>
      </c>
      <c r="S36" s="147">
        <v>0.05</v>
      </c>
      <c r="T36" s="147">
        <v>0.03</v>
      </c>
      <c r="U36" s="147">
        <v>0.02</v>
      </c>
      <c r="V36" s="588"/>
      <c r="W36" s="588"/>
      <c r="X36" s="147"/>
      <c r="Y36" s="588"/>
      <c r="Z36" s="588">
        <v>4.3999999999999997E-2</v>
      </c>
      <c r="AA36" s="588">
        <v>0.316</v>
      </c>
      <c r="AB36" s="588">
        <v>5.7000000000000002E-2</v>
      </c>
      <c r="AC36" s="588">
        <v>0.58399999999999996</v>
      </c>
      <c r="AD36" s="588"/>
      <c r="AE36" s="147"/>
      <c r="AF36" s="588"/>
      <c r="AG36" s="588"/>
      <c r="AH36" s="147">
        <v>0.27</v>
      </c>
      <c r="AI36" s="588">
        <v>0.30399999999999999</v>
      </c>
      <c r="AJ36" s="588">
        <v>6.6000000000000003E-2</v>
      </c>
      <c r="AK36" s="588">
        <v>0.60399999999999998</v>
      </c>
      <c r="AL36" s="588">
        <v>7.6999999999999999E-2</v>
      </c>
      <c r="AM36" s="588">
        <v>0.77200000000000002</v>
      </c>
      <c r="BC36" s="147"/>
      <c r="BD36" s="62"/>
      <c r="BE36" s="62"/>
      <c r="BG36" s="62"/>
      <c r="BH36" s="14"/>
    </row>
    <row r="37" spans="1:63" ht="15" customHeight="1" x14ac:dyDescent="0.3">
      <c r="A37" s="50">
        <v>34</v>
      </c>
      <c r="B37" s="553">
        <v>0.26</v>
      </c>
      <c r="C37" s="553">
        <v>0.108</v>
      </c>
      <c r="D37" s="553">
        <v>0.36799999999999999</v>
      </c>
      <c r="E37" s="553">
        <v>0.23400000000000001</v>
      </c>
      <c r="F37" s="553">
        <v>0.32200000000000001</v>
      </c>
      <c r="G37" s="553">
        <v>0.55600000000000005</v>
      </c>
      <c r="H37" s="553">
        <v>0.23200000000000001</v>
      </c>
      <c r="I37" s="553">
        <v>9.1999999999999998E-2</v>
      </c>
      <c r="J37" s="553">
        <v>0.32400000000000001</v>
      </c>
      <c r="K37" s="588">
        <v>0.39600000000000002</v>
      </c>
      <c r="L37" s="588">
        <f xml:space="preserve"> 12.2%</f>
        <v>0.122</v>
      </c>
      <c r="M37" s="588">
        <f xml:space="preserve"> 51.8%</f>
        <v>0.51800000000000002</v>
      </c>
      <c r="N37" s="553">
        <v>0.34599999999999997</v>
      </c>
      <c r="O37" s="553">
        <v>0.14000000000000001</v>
      </c>
      <c r="P37" s="553">
        <v>0.48599999999999999</v>
      </c>
      <c r="Q37" s="147">
        <v>0.11</v>
      </c>
      <c r="R37" s="520">
        <v>0.06</v>
      </c>
      <c r="S37" s="147">
        <v>0.05</v>
      </c>
      <c r="T37" s="147">
        <v>0.03</v>
      </c>
      <c r="U37" s="147">
        <v>0.02</v>
      </c>
      <c r="V37" s="588"/>
      <c r="W37" s="588"/>
      <c r="X37" s="147"/>
      <c r="Y37" s="588"/>
      <c r="Z37" s="588">
        <v>4.2000000000000003E-2</v>
      </c>
      <c r="AA37" s="588">
        <v>0.33800000000000002</v>
      </c>
      <c r="AB37" s="588">
        <v>5.6000000000000001E-2</v>
      </c>
      <c r="AC37" s="588">
        <v>0.59199999999999997</v>
      </c>
      <c r="AD37" s="588"/>
      <c r="AE37" s="147"/>
      <c r="AF37" s="588"/>
      <c r="AG37" s="588"/>
      <c r="AH37" s="147">
        <v>0.27</v>
      </c>
      <c r="AI37" s="588">
        <v>0.30199999999999999</v>
      </c>
      <c r="AJ37" s="588">
        <v>6.8000000000000005E-2</v>
      </c>
      <c r="AK37" s="588">
        <v>0.60199999999999998</v>
      </c>
      <c r="AL37" s="588">
        <v>7.5999999999999998E-2</v>
      </c>
      <c r="AM37" s="588">
        <v>0.77600000000000002</v>
      </c>
      <c r="AS37" s="147" t="s">
        <v>1568</v>
      </c>
      <c r="BC37" s="147" t="s">
        <v>1568</v>
      </c>
      <c r="BD37" s="62"/>
      <c r="BE37" s="62"/>
      <c r="BG37" s="62"/>
      <c r="BH37" s="14"/>
    </row>
    <row r="38" spans="1:63" ht="15" customHeight="1" x14ac:dyDescent="0.3">
      <c r="A38" s="50">
        <v>35</v>
      </c>
      <c r="B38" s="553">
        <v>0.255</v>
      </c>
      <c r="C38" s="553">
        <v>0.11</v>
      </c>
      <c r="D38" s="553">
        <v>0.36499999999999999</v>
      </c>
      <c r="E38" s="553">
        <v>0.22500000000000001</v>
      </c>
      <c r="F38" s="553">
        <v>0.34</v>
      </c>
      <c r="G38" s="553">
        <v>0.56499999999999995</v>
      </c>
      <c r="H38" s="553">
        <v>0.22500000000000001</v>
      </c>
      <c r="I38" s="553">
        <v>9.5000000000000001E-2</v>
      </c>
      <c r="J38" s="553">
        <v>0.32</v>
      </c>
      <c r="K38" s="588">
        <v>0.39</v>
      </c>
      <c r="L38" s="588">
        <f xml:space="preserve"> 12.5%</f>
        <v>0.125</v>
      </c>
      <c r="M38" s="588">
        <f xml:space="preserve"> 51.5%</f>
        <v>0.51500000000000001</v>
      </c>
      <c r="N38" s="553">
        <v>0.34</v>
      </c>
      <c r="O38" s="553">
        <v>0.155</v>
      </c>
      <c r="P38" s="553">
        <v>0.495</v>
      </c>
      <c r="Q38" s="147">
        <v>0.12</v>
      </c>
      <c r="R38" s="520">
        <v>0.06</v>
      </c>
      <c r="S38" s="147">
        <v>0.06</v>
      </c>
      <c r="T38" s="147">
        <v>0.03</v>
      </c>
      <c r="U38" s="147">
        <v>0.02</v>
      </c>
      <c r="V38" s="588"/>
      <c r="W38" s="588"/>
      <c r="X38" s="147"/>
      <c r="Y38" s="588"/>
      <c r="Z38" s="588">
        <v>0.04</v>
      </c>
      <c r="AA38" s="588">
        <v>0.36</v>
      </c>
      <c r="AB38" s="588">
        <v>5.5E-2</v>
      </c>
      <c r="AC38" s="588">
        <v>0.6</v>
      </c>
      <c r="AD38" s="588"/>
      <c r="AE38" s="147"/>
      <c r="AF38" s="588"/>
      <c r="AG38" s="588"/>
      <c r="AH38" s="147">
        <v>0.28000000000000003</v>
      </c>
      <c r="AI38" s="588">
        <v>0.3</v>
      </c>
      <c r="AJ38" s="588">
        <v>7.0000000000000007E-2</v>
      </c>
      <c r="AK38" s="588">
        <v>0.6</v>
      </c>
      <c r="AL38" s="588">
        <v>7.4999999999999997E-2</v>
      </c>
      <c r="AM38" s="588">
        <v>0.78</v>
      </c>
      <c r="AS38" s="147" t="s">
        <v>1519</v>
      </c>
      <c r="AT38" s="585" t="str">
        <f>IF('Upper Extremity-Right'!T244="","",'Upper Extremity-Right'!T244)</f>
        <v/>
      </c>
      <c r="AU38" s="585" t="str">
        <f t="shared" si="0"/>
        <v/>
      </c>
      <c r="AV38" s="194">
        <f>IF(AU38="",0,VLOOKUP(AU38,$A$3:$AM$153,8))</f>
        <v>0</v>
      </c>
      <c r="AX38" s="147" t="s">
        <v>163</v>
      </c>
      <c r="AY38" s="585" t="str">
        <f>IF('Upper Extremity-Right'!V244="","",'Upper Extremity-Right'!V244)</f>
        <v/>
      </c>
      <c r="AZ38" s="585" t="str">
        <f>IF(AY38="","",ROUND(AY38,0))</f>
        <v/>
      </c>
      <c r="BA38" s="194">
        <f>IF(AZ38="",0,VLOOKUP(AZ38,$A$3:$AM$153,8))</f>
        <v>0</v>
      </c>
      <c r="BC38" s="147" t="s">
        <v>1519</v>
      </c>
      <c r="BD38" s="585" t="str">
        <f>IF('Upper Extremity-Left'!T244="","",'Upper Extremity-Left'!T244)</f>
        <v/>
      </c>
      <c r="BE38" s="585" t="str">
        <f>IF(BD38="","",ROUND(BD38,0))</f>
        <v/>
      </c>
      <c r="BF38" s="194">
        <f>IF(BE38="",0,VLOOKUP(BE38,$A$3:$AM$153,8))</f>
        <v>0</v>
      </c>
      <c r="BG38" s="62"/>
      <c r="BH38" s="147" t="s">
        <v>163</v>
      </c>
      <c r="BI38" s="585" t="str">
        <f>IF('Upper Extremity-Left'!V244="","",'Upper Extremity-Left'!V244)</f>
        <v/>
      </c>
      <c r="BJ38" s="585" t="str">
        <f>IF(BI38="","",ROUND(BI38,0))</f>
        <v/>
      </c>
      <c r="BK38" s="194">
        <f>IF(BJ38="",0,VLOOKUP(BJ38,$A$3:$AM$153,8))</f>
        <v>0</v>
      </c>
    </row>
    <row r="39" spans="1:63" ht="15" customHeight="1" x14ac:dyDescent="0.3">
      <c r="A39" s="50">
        <v>36</v>
      </c>
      <c r="B39" s="553">
        <v>0.25</v>
      </c>
      <c r="C39" s="553">
        <v>0.112</v>
      </c>
      <c r="D39" s="553">
        <v>0.36199999999999999</v>
      </c>
      <c r="E39" s="553">
        <v>0.216</v>
      </c>
      <c r="F39" s="553">
        <v>0.35799999999999998</v>
      </c>
      <c r="G39" s="553">
        <v>0.57399999999999995</v>
      </c>
      <c r="H39" s="553">
        <v>0.218</v>
      </c>
      <c r="I39" s="553">
        <v>9.8000000000000004E-2</v>
      </c>
      <c r="J39" s="553">
        <v>0.316</v>
      </c>
      <c r="K39" s="588">
        <v>0.38400000000000001</v>
      </c>
      <c r="L39" s="588">
        <f xml:space="preserve"> 12.8%</f>
        <v>0.128</v>
      </c>
      <c r="M39" s="588">
        <f xml:space="preserve"> 51.2%</f>
        <v>0.51200000000000001</v>
      </c>
      <c r="N39" s="553">
        <v>0.33400000000000002</v>
      </c>
      <c r="O39" s="553">
        <v>0.17</v>
      </c>
      <c r="P39" s="553">
        <v>0.504</v>
      </c>
      <c r="Q39" s="147">
        <v>0.12</v>
      </c>
      <c r="R39" s="520">
        <v>0.06</v>
      </c>
      <c r="S39" s="147">
        <v>0.06</v>
      </c>
      <c r="T39" s="147">
        <v>0.03</v>
      </c>
      <c r="U39" s="147">
        <v>0.02</v>
      </c>
      <c r="V39" s="588"/>
      <c r="W39" s="588"/>
      <c r="X39" s="147"/>
      <c r="Y39" s="588"/>
      <c r="Z39" s="588">
        <v>3.7999999999999999E-2</v>
      </c>
      <c r="AA39" s="688">
        <v>0.38200000000000001</v>
      </c>
      <c r="AB39" s="588">
        <v>5.3999999999999999E-2</v>
      </c>
      <c r="AC39" s="588">
        <v>0.60799999999999998</v>
      </c>
      <c r="AD39" s="588"/>
      <c r="AE39" s="147"/>
      <c r="AF39" s="588"/>
      <c r="AG39" s="588"/>
      <c r="AH39" s="147">
        <v>0.28999999999999998</v>
      </c>
      <c r="AI39" s="588">
        <v>0.29799999999999999</v>
      </c>
      <c r="AJ39" s="588">
        <v>7.1999999999999995E-2</v>
      </c>
      <c r="AK39" s="588">
        <v>0.59799999999999998</v>
      </c>
      <c r="AL39" s="588">
        <v>7.3999999999999996E-2</v>
      </c>
      <c r="AM39" s="588">
        <v>0.78400000000000003</v>
      </c>
      <c r="AS39" s="147" t="s">
        <v>164</v>
      </c>
      <c r="AT39" s="585" t="str">
        <f>IF('Upper Extremity-Right'!T245="","",'Upper Extremity-Right'!T245)</f>
        <v/>
      </c>
      <c r="AU39" s="585" t="str">
        <f t="shared" si="0"/>
        <v/>
      </c>
      <c r="AV39" s="194">
        <f>IF(AU39="",0,VLOOKUP(AU39,$A$3:$AM$153,9))</f>
        <v>0</v>
      </c>
      <c r="AX39" s="147" t="s">
        <v>163</v>
      </c>
      <c r="AY39" s="585" t="str">
        <f>IF('Upper Extremity-Right'!V245="","",'Upper Extremity-Right'!V245)</f>
        <v/>
      </c>
      <c r="AZ39" s="585" t="str">
        <f>IF(AY39="","",ROUND(AY39,0))</f>
        <v/>
      </c>
      <c r="BA39" s="194">
        <f>IF(AZ39="",0,VLOOKUP(AZ39,$A$3:$AM$153,9))</f>
        <v>0</v>
      </c>
      <c r="BC39" s="147" t="s">
        <v>164</v>
      </c>
      <c r="BD39" s="585" t="str">
        <f>IF('Upper Extremity-Left'!T245="","",'Upper Extremity-Left'!T245)</f>
        <v/>
      </c>
      <c r="BE39" s="585" t="str">
        <f>IF(BD39="","",ROUND(BD39,0))</f>
        <v/>
      </c>
      <c r="BF39" s="194">
        <f>IF(BE39="",0,VLOOKUP(BE39,$A$3:$AM$153,9))</f>
        <v>0</v>
      </c>
      <c r="BG39" s="62"/>
      <c r="BH39" s="147" t="s">
        <v>163</v>
      </c>
      <c r="BI39" s="585" t="str">
        <f>IF('Upper Extremity-Left'!V245="","",'Upper Extremity-Left'!V245)</f>
        <v/>
      </c>
      <c r="BJ39" s="585" t="str">
        <f>IF(BI39="","",ROUND(BI39,0))</f>
        <v/>
      </c>
      <c r="BK39" s="194">
        <f>IF(BJ39="",0,VLOOKUP(BJ39,$A$3:$AM$153,9))</f>
        <v>0</v>
      </c>
    </row>
    <row r="40" spans="1:63" ht="15" customHeight="1" x14ac:dyDescent="0.3">
      <c r="A40" s="50">
        <v>37</v>
      </c>
      <c r="B40" s="553">
        <v>0.245</v>
      </c>
      <c r="C40" s="553">
        <v>0.114</v>
      </c>
      <c r="D40" s="553">
        <v>0.35899999999999999</v>
      </c>
      <c r="E40" s="553">
        <v>0.20699999999999999</v>
      </c>
      <c r="F40" s="553">
        <v>0.376</v>
      </c>
      <c r="G40" s="553">
        <v>0.58299999999999996</v>
      </c>
      <c r="H40" s="553">
        <v>0.21099999999999999</v>
      </c>
      <c r="I40" s="553">
        <v>0.10100000000000001</v>
      </c>
      <c r="J40" s="553">
        <v>0.312</v>
      </c>
      <c r="K40" s="588">
        <v>0.378</v>
      </c>
      <c r="L40" s="588">
        <f xml:space="preserve"> 13.1%</f>
        <v>0.13100000000000001</v>
      </c>
      <c r="M40" s="588">
        <f xml:space="preserve"> 50.9%</f>
        <v>0.50900000000000001</v>
      </c>
      <c r="N40" s="553">
        <v>0.32800000000000001</v>
      </c>
      <c r="O40" s="553">
        <v>0.185</v>
      </c>
      <c r="P40" s="553">
        <v>0.51300000000000001</v>
      </c>
      <c r="Q40" s="147">
        <v>0.12</v>
      </c>
      <c r="R40" s="520">
        <v>0.06</v>
      </c>
      <c r="S40" s="147">
        <v>0.06</v>
      </c>
      <c r="T40" s="147">
        <v>0.03</v>
      </c>
      <c r="U40" s="147">
        <v>0.02</v>
      </c>
      <c r="V40" s="588"/>
      <c r="W40" s="588"/>
      <c r="X40" s="147"/>
      <c r="Y40" s="588"/>
      <c r="Z40" s="588">
        <v>3.5999999999999997E-2</v>
      </c>
      <c r="AA40" s="588">
        <v>0.40400000000000003</v>
      </c>
      <c r="AB40" s="588">
        <v>5.2999999999999999E-2</v>
      </c>
      <c r="AC40" s="588">
        <v>0.61599999999999999</v>
      </c>
      <c r="AD40" s="588"/>
      <c r="AE40" s="147"/>
      <c r="AF40" s="588"/>
      <c r="AG40" s="588"/>
      <c r="AH40" s="147">
        <v>0.3</v>
      </c>
      <c r="AI40" s="588">
        <v>0.29599999999999999</v>
      </c>
      <c r="AJ40" s="588">
        <v>7.3999999999999996E-2</v>
      </c>
      <c r="AK40" s="588">
        <v>0.59599999999999997</v>
      </c>
      <c r="AL40" s="588">
        <v>7.2999999999999995E-2</v>
      </c>
      <c r="AM40" s="588">
        <v>0.78800000000000003</v>
      </c>
      <c r="AS40" s="147" t="s">
        <v>165</v>
      </c>
      <c r="AT40" s="585" t="str">
        <f>IF('Upper Extremity-Right'!T246="","",'Upper Extremity-Right'!T246)</f>
        <v/>
      </c>
      <c r="AU40" s="585" t="str">
        <f t="shared" si="0"/>
        <v/>
      </c>
      <c r="AV40" s="194">
        <f>IF(AU40="",0,VLOOKUP(AU40,$A$3:$AM$153,10))</f>
        <v>0</v>
      </c>
      <c r="BC40" s="147" t="s">
        <v>165</v>
      </c>
      <c r="BD40" s="585" t="str">
        <f>IF('Upper Extremity-Left'!T246="","",'Upper Extremity-Left'!T246)</f>
        <v/>
      </c>
      <c r="BE40" s="585" t="str">
        <f>IF(BD40="","",ROUND(BD40,0))</f>
        <v/>
      </c>
      <c r="BF40" s="194">
        <f>IF(BE40="",0,VLOOKUP(BE40,$A$3:$AM$153,10))</f>
        <v>0</v>
      </c>
      <c r="BG40" s="62"/>
      <c r="BH40" s="14"/>
    </row>
    <row r="41" spans="1:63" ht="15" customHeight="1" x14ac:dyDescent="0.3">
      <c r="A41" s="50">
        <v>38</v>
      </c>
      <c r="B41" s="553">
        <v>0.24</v>
      </c>
      <c r="C41" s="553">
        <v>0.11600000000000001</v>
      </c>
      <c r="D41" s="553">
        <v>0.35599999999999998</v>
      </c>
      <c r="E41" s="553">
        <v>0.19800000000000001</v>
      </c>
      <c r="F41" s="553">
        <v>0.39400000000000002</v>
      </c>
      <c r="G41" s="553">
        <v>0.59199999999999997</v>
      </c>
      <c r="H41" s="553">
        <v>0.20399999999999999</v>
      </c>
      <c r="I41" s="553">
        <v>0.104</v>
      </c>
      <c r="J41" s="553">
        <v>0.308</v>
      </c>
      <c r="K41" s="588">
        <v>0.372</v>
      </c>
      <c r="L41" s="588">
        <f xml:space="preserve"> 13.4%</f>
        <v>0.13400000000000001</v>
      </c>
      <c r="M41" s="588">
        <f xml:space="preserve"> 50.6%</f>
        <v>0.50600000000000001</v>
      </c>
      <c r="N41" s="553">
        <v>0.32200000000000001</v>
      </c>
      <c r="O41" s="553">
        <v>0.2</v>
      </c>
      <c r="P41" s="553">
        <v>0.52200000000000002</v>
      </c>
      <c r="Q41" s="147">
        <v>0.13</v>
      </c>
      <c r="R41" s="520">
        <v>7.0000000000000007E-2</v>
      </c>
      <c r="S41" s="147">
        <v>0.06</v>
      </c>
      <c r="T41" s="147">
        <v>0.03</v>
      </c>
      <c r="U41" s="147">
        <v>0.02</v>
      </c>
      <c r="V41" s="588"/>
      <c r="W41" s="588"/>
      <c r="X41" s="147"/>
      <c r="Y41" s="588"/>
      <c r="Z41" s="588">
        <v>3.4000000000000002E-2</v>
      </c>
      <c r="AA41" s="588">
        <v>0.42599999999999999</v>
      </c>
      <c r="AB41" s="588">
        <v>5.1999999999999998E-2</v>
      </c>
      <c r="AC41" s="588">
        <v>0.624</v>
      </c>
      <c r="AD41" s="588"/>
      <c r="AE41" s="147"/>
      <c r="AF41" s="588"/>
      <c r="AG41" s="588"/>
      <c r="AH41" s="147">
        <v>0.31</v>
      </c>
      <c r="AI41" s="588">
        <v>0.29399999999999998</v>
      </c>
      <c r="AJ41" s="588">
        <v>7.5999999999999998E-2</v>
      </c>
      <c r="AK41" s="588">
        <v>0.59399999999999997</v>
      </c>
      <c r="AL41" s="588">
        <v>7.1999999999999995E-2</v>
      </c>
      <c r="AM41" s="588">
        <v>0.79200000000000004</v>
      </c>
      <c r="BC41" s="147"/>
      <c r="BD41" s="62"/>
      <c r="BE41" s="62"/>
      <c r="BG41" s="62"/>
      <c r="BH41" s="14"/>
    </row>
    <row r="42" spans="1:63" ht="15" customHeight="1" x14ac:dyDescent="0.3">
      <c r="A42" s="50">
        <v>39</v>
      </c>
      <c r="B42" s="553">
        <v>0.23499999999999999</v>
      </c>
      <c r="C42" s="553">
        <v>0.11799999999999999</v>
      </c>
      <c r="D42" s="553">
        <v>0.35299999999999998</v>
      </c>
      <c r="E42" s="553">
        <v>0.189</v>
      </c>
      <c r="F42" s="553">
        <v>0.41199999999999998</v>
      </c>
      <c r="G42" s="553">
        <v>0.60099999999999998</v>
      </c>
      <c r="H42" s="553">
        <v>0.19700000000000001</v>
      </c>
      <c r="I42" s="553">
        <v>0.107</v>
      </c>
      <c r="J42" s="553">
        <v>0.30399999999999999</v>
      </c>
      <c r="K42" s="588">
        <v>0.36599999999999999</v>
      </c>
      <c r="L42" s="588">
        <f xml:space="preserve"> 13.7%</f>
        <v>0.13699999999999998</v>
      </c>
      <c r="M42" s="588">
        <f xml:space="preserve"> 50.3%</f>
        <v>0.503</v>
      </c>
      <c r="N42" s="553">
        <v>0.316</v>
      </c>
      <c r="O42" s="553">
        <v>0.215</v>
      </c>
      <c r="P42" s="553">
        <v>0.53100000000000003</v>
      </c>
      <c r="Q42" s="147">
        <v>0.13</v>
      </c>
      <c r="R42" s="520">
        <v>7.0000000000000007E-2</v>
      </c>
      <c r="S42" s="147">
        <v>0.06</v>
      </c>
      <c r="T42" s="147">
        <v>0.03</v>
      </c>
      <c r="U42" s="147">
        <v>0.02</v>
      </c>
      <c r="V42" s="588"/>
      <c r="W42" s="588"/>
      <c r="X42" s="147"/>
      <c r="Y42" s="588"/>
      <c r="Z42" s="588">
        <v>3.2000000000000001E-2</v>
      </c>
      <c r="AA42" s="588">
        <v>0.44800000000000001</v>
      </c>
      <c r="AB42" s="588">
        <v>5.0999999999999997E-2</v>
      </c>
      <c r="AC42" s="588">
        <v>0.63200000000000001</v>
      </c>
      <c r="AD42" s="588"/>
      <c r="AE42" s="147"/>
      <c r="AF42" s="588"/>
      <c r="AG42" s="588"/>
      <c r="AH42" s="147">
        <v>0.31</v>
      </c>
      <c r="AI42" s="588">
        <v>0.29199999999999998</v>
      </c>
      <c r="AJ42" s="588">
        <v>7.8E-2</v>
      </c>
      <c r="AK42" s="588">
        <v>0.59199999999999997</v>
      </c>
      <c r="AL42" s="588">
        <v>7.0999999999999994E-2</v>
      </c>
      <c r="AM42" s="588">
        <v>0.79600000000000004</v>
      </c>
      <c r="AS42" s="147" t="s">
        <v>641</v>
      </c>
      <c r="AT42" s="585" t="str">
        <f>IF('Upper Extremity-Right'!T248="","",'Upper Extremity-Right'!T248)</f>
        <v/>
      </c>
      <c r="AU42" s="585" t="str">
        <f t="shared" si="0"/>
        <v/>
      </c>
      <c r="AV42" s="194">
        <f>IF(AU42="",0,VLOOKUP(AU42,$A$3:$AM$153,11))</f>
        <v>0</v>
      </c>
      <c r="AX42" s="147" t="s">
        <v>642</v>
      </c>
      <c r="AY42" s="585" t="str">
        <f>IF('Upper Extremity-Right'!V248="","",'Upper Extremity-Right'!V248)</f>
        <v/>
      </c>
      <c r="AZ42" s="585" t="str">
        <f>IF(AY42="","",ROUND(AY42,0))</f>
        <v/>
      </c>
      <c r="BA42" s="194">
        <f>IF(AZ42="",0,VLOOKUP(AZ42,$A$3:$AM$153,11))</f>
        <v>0</v>
      </c>
      <c r="BC42" s="147" t="s">
        <v>641</v>
      </c>
      <c r="BD42" s="585" t="str">
        <f>IF('Upper Extremity-Left'!T248="","",'Upper Extremity-Left'!T248)</f>
        <v/>
      </c>
      <c r="BE42" s="585" t="str">
        <f>IF(BD42="","",ROUND(BD42,0))</f>
        <v/>
      </c>
      <c r="BF42" s="194">
        <f>IF(BE42="",0,VLOOKUP(BE42,$A$3:$AM$153,11))</f>
        <v>0</v>
      </c>
      <c r="BG42" s="62"/>
      <c r="BH42" s="147" t="s">
        <v>642</v>
      </c>
      <c r="BI42" s="585" t="str">
        <f>IF('Upper Extremity-Left'!V248="","",'Upper Extremity-Left'!V248)</f>
        <v/>
      </c>
      <c r="BJ42" s="585" t="str">
        <f>IF(BI42="","",ROUND(BI42,0))</f>
        <v/>
      </c>
      <c r="BK42" s="194">
        <f>IF(BJ42="",0,VLOOKUP(BJ42,$A$3:$AM$153,11))</f>
        <v>0</v>
      </c>
    </row>
    <row r="43" spans="1:63" ht="15" customHeight="1" x14ac:dyDescent="0.3">
      <c r="A43" s="50">
        <v>40</v>
      </c>
      <c r="B43" s="553">
        <v>0.23</v>
      </c>
      <c r="C43" s="553">
        <v>0.12</v>
      </c>
      <c r="D43" s="553">
        <v>0.35</v>
      </c>
      <c r="E43" s="553">
        <v>0.18</v>
      </c>
      <c r="F43" s="553">
        <v>0.43</v>
      </c>
      <c r="G43" s="553">
        <v>0.61</v>
      </c>
      <c r="H43" s="553">
        <v>0.19</v>
      </c>
      <c r="I43" s="553">
        <v>0.11</v>
      </c>
      <c r="J43" s="553">
        <v>0.3</v>
      </c>
      <c r="K43" s="588">
        <v>0.36</v>
      </c>
      <c r="L43" s="588">
        <f xml:space="preserve"> 14%</f>
        <v>0.14000000000000001</v>
      </c>
      <c r="M43" s="588">
        <f xml:space="preserve"> 50%</f>
        <v>0.5</v>
      </c>
      <c r="N43" s="553">
        <v>0.31</v>
      </c>
      <c r="O43" s="553">
        <v>0.23</v>
      </c>
      <c r="P43" s="553">
        <v>0.54</v>
      </c>
      <c r="Q43" s="147">
        <v>0.13</v>
      </c>
      <c r="R43" s="520">
        <v>7.0000000000000007E-2</v>
      </c>
      <c r="S43" s="147">
        <v>0.06</v>
      </c>
      <c r="T43" s="147">
        <v>0.03</v>
      </c>
      <c r="U43" s="147">
        <v>0.02</v>
      </c>
      <c r="V43" s="588"/>
      <c r="W43" s="588"/>
      <c r="X43" s="147"/>
      <c r="Y43" s="588"/>
      <c r="Z43" s="588">
        <v>0.03</v>
      </c>
      <c r="AA43" s="588">
        <v>0.47</v>
      </c>
      <c r="AB43" s="588">
        <v>0.05</v>
      </c>
      <c r="AC43" s="588">
        <v>0.64</v>
      </c>
      <c r="AD43" s="588"/>
      <c r="AE43" s="147"/>
      <c r="AF43" s="588"/>
      <c r="AG43" s="588"/>
      <c r="AH43" s="147">
        <v>0.32</v>
      </c>
      <c r="AI43" s="588">
        <v>0.28999999999999998</v>
      </c>
      <c r="AJ43" s="588">
        <v>0.08</v>
      </c>
      <c r="AK43" s="588">
        <v>0.59</v>
      </c>
      <c r="AL43" s="588">
        <v>7.0000000000000007E-2</v>
      </c>
      <c r="AM43" s="588">
        <v>0.8</v>
      </c>
      <c r="AS43" s="147" t="s">
        <v>455</v>
      </c>
      <c r="AT43" s="585" t="str">
        <f>IF('Upper Extremity-Right'!T249="","",'Upper Extremity-Right'!T249)</f>
        <v/>
      </c>
      <c r="AU43" s="585" t="str">
        <f t="shared" si="0"/>
        <v/>
      </c>
      <c r="AV43" s="194">
        <f>IF(AU43="",0,VLOOKUP(AU43,$A$3:$AM$153,12))</f>
        <v>0</v>
      </c>
      <c r="AX43" s="147" t="s">
        <v>642</v>
      </c>
      <c r="AY43" s="585" t="str">
        <f>IF('Upper Extremity-Right'!V249="","",'Upper Extremity-Right'!V249)</f>
        <v/>
      </c>
      <c r="AZ43" s="585" t="str">
        <f>IF(AY43="","",ROUND(AY43,0))</f>
        <v/>
      </c>
      <c r="BA43" s="194">
        <f>IF(AZ43="",0,VLOOKUP(AZ43,$A$3:$AM$153,12))</f>
        <v>0</v>
      </c>
      <c r="BC43" s="147" t="s">
        <v>455</v>
      </c>
      <c r="BD43" s="585" t="str">
        <f>IF('Upper Extremity-Left'!T249="","",'Upper Extremity-Left'!T249)</f>
        <v/>
      </c>
      <c r="BE43" s="585" t="str">
        <f>IF(BD43="","",ROUND(BD43,0))</f>
        <v/>
      </c>
      <c r="BF43" s="194">
        <f>IF(BE43="",0,VLOOKUP(BE43,$A$3:$AM$153,12))</f>
        <v>0</v>
      </c>
      <c r="BG43" s="62"/>
      <c r="BH43" s="147" t="s">
        <v>642</v>
      </c>
      <c r="BI43" s="585" t="str">
        <f>IF('Upper Extremity-Left'!V249="","",'Upper Extremity-Left'!V249)</f>
        <v/>
      </c>
      <c r="BJ43" s="585" t="str">
        <f>IF(BI43="","",ROUND(BI43,0))</f>
        <v/>
      </c>
      <c r="BK43" s="194">
        <f>IF(BJ43="",0,VLOOKUP(BJ43,$A$3:$AM$153,12))</f>
        <v>0</v>
      </c>
    </row>
    <row r="44" spans="1:63" ht="15" customHeight="1" x14ac:dyDescent="0.3">
      <c r="A44" s="50">
        <v>41</v>
      </c>
      <c r="B44" s="553">
        <v>0.224</v>
      </c>
      <c r="C44" s="553">
        <v>0.129</v>
      </c>
      <c r="D44" s="553">
        <v>0.35299999999999998</v>
      </c>
      <c r="E44" s="553">
        <v>0.17100000000000001</v>
      </c>
      <c r="F44" s="553">
        <v>0.44800000000000001</v>
      </c>
      <c r="G44" s="553">
        <v>0.61899999999999999</v>
      </c>
      <c r="H44" s="553">
        <v>0.184</v>
      </c>
      <c r="I44" s="553">
        <v>0.121</v>
      </c>
      <c r="J44" s="553">
        <v>0.30499999999999999</v>
      </c>
      <c r="K44" s="588">
        <v>0.35399999999999998</v>
      </c>
      <c r="L44" s="588">
        <f xml:space="preserve"> 14.9%</f>
        <v>0.14899999999999999</v>
      </c>
      <c r="M44" s="588">
        <f xml:space="preserve"> 50.3%</f>
        <v>0.503</v>
      </c>
      <c r="N44" s="553">
        <v>0.30299999999999999</v>
      </c>
      <c r="O44" s="553">
        <v>0.246</v>
      </c>
      <c r="P44" s="553">
        <v>0.54900000000000004</v>
      </c>
      <c r="Q44" s="147">
        <v>0.14000000000000001</v>
      </c>
      <c r="R44" s="520">
        <v>7.0000000000000007E-2</v>
      </c>
      <c r="S44" s="147">
        <v>7.0000000000000007E-2</v>
      </c>
      <c r="T44" s="147">
        <v>0.03</v>
      </c>
      <c r="U44" s="147">
        <v>0.02</v>
      </c>
      <c r="V44" s="588"/>
      <c r="W44" s="588"/>
      <c r="X44" s="147"/>
      <c r="Y44" s="588"/>
      <c r="Z44" s="588">
        <v>2.9000000000000001E-2</v>
      </c>
      <c r="AA44" s="588">
        <v>0.49099999999999999</v>
      </c>
      <c r="AB44" s="588">
        <v>4.8000000000000001E-2</v>
      </c>
      <c r="AC44" s="588">
        <v>0.64900000000000002</v>
      </c>
      <c r="AD44" s="588"/>
      <c r="AE44" s="147"/>
      <c r="AF44" s="588"/>
      <c r="AG44" s="588"/>
      <c r="AH44" s="147">
        <v>0.33</v>
      </c>
      <c r="AI44" s="588">
        <v>0.28699999999999998</v>
      </c>
      <c r="AJ44" s="588">
        <v>8.2000000000000003E-2</v>
      </c>
      <c r="AK44" s="588">
        <v>0.58899999999999997</v>
      </c>
      <c r="AL44" s="588">
        <v>6.8000000000000005E-2</v>
      </c>
      <c r="AM44" s="588">
        <v>0.80400000000000005</v>
      </c>
      <c r="AS44" s="147" t="s">
        <v>456</v>
      </c>
      <c r="AT44" s="585" t="str">
        <f>IF('Upper Extremity-Right'!T250="","",'Upper Extremity-Right'!T250)</f>
        <v/>
      </c>
      <c r="AU44" s="585" t="str">
        <f t="shared" si="0"/>
        <v/>
      </c>
      <c r="AV44" s="194">
        <f>IF(AU44="",0,VLOOKUP(AU44,$A$3:$AM$153,13))</f>
        <v>0</v>
      </c>
      <c r="BC44" s="147" t="s">
        <v>456</v>
      </c>
      <c r="BD44" s="585" t="str">
        <f>IF('Upper Extremity-Left'!T250="","",'Upper Extremity-Left'!T250)</f>
        <v/>
      </c>
      <c r="BE44" s="585" t="str">
        <f>IF(BD44="","",ROUND(BD44,0))</f>
        <v/>
      </c>
      <c r="BF44" s="194">
        <f>IF(BE44="",0,VLOOKUP(BE44,$A$3:$AM$153,13))</f>
        <v>0</v>
      </c>
      <c r="BG44" s="62"/>
      <c r="BH44" s="14"/>
    </row>
    <row r="45" spans="1:63" ht="15" customHeight="1" x14ac:dyDescent="0.3">
      <c r="A45" s="50">
        <v>42</v>
      </c>
      <c r="B45" s="553">
        <v>0.218</v>
      </c>
      <c r="C45" s="553">
        <v>0.13800000000000001</v>
      </c>
      <c r="D45" s="553">
        <v>0.35599999999999998</v>
      </c>
      <c r="E45" s="553">
        <v>0.16200000000000001</v>
      </c>
      <c r="F45" s="553">
        <v>0.46600000000000003</v>
      </c>
      <c r="G45" s="553">
        <v>0.628</v>
      </c>
      <c r="H45" s="553">
        <v>0.17799999999999999</v>
      </c>
      <c r="I45" s="553">
        <v>0.13200000000000001</v>
      </c>
      <c r="J45" s="553">
        <v>0.31</v>
      </c>
      <c r="K45" s="588">
        <v>0.34799999999999998</v>
      </c>
      <c r="L45" s="588">
        <f xml:space="preserve"> 15.8%</f>
        <v>0.158</v>
      </c>
      <c r="M45" s="588">
        <f xml:space="preserve"> 50.6%</f>
        <v>0.50600000000000001</v>
      </c>
      <c r="N45" s="553">
        <v>0.29599999999999999</v>
      </c>
      <c r="O45" s="553">
        <v>0.26200000000000001</v>
      </c>
      <c r="P45" s="553">
        <v>0.55800000000000005</v>
      </c>
      <c r="Q45" s="147">
        <v>0.14000000000000001</v>
      </c>
      <c r="R45" s="520">
        <v>7.0000000000000007E-2</v>
      </c>
      <c r="S45" s="147">
        <v>7.0000000000000007E-2</v>
      </c>
      <c r="T45" s="147">
        <v>0.03</v>
      </c>
      <c r="U45" s="147">
        <v>0.02</v>
      </c>
      <c r="V45" s="588"/>
      <c r="W45" s="588"/>
      <c r="X45" s="147"/>
      <c r="Y45" s="588"/>
      <c r="Z45" s="588">
        <v>2.8000000000000001E-2</v>
      </c>
      <c r="AA45" s="588">
        <v>0.51200000000000001</v>
      </c>
      <c r="AB45" s="588">
        <v>4.5999999999999999E-2</v>
      </c>
      <c r="AC45" s="588">
        <v>0.65800000000000003</v>
      </c>
      <c r="AD45" s="588"/>
      <c r="AE45" s="147"/>
      <c r="AF45" s="588"/>
      <c r="AG45" s="588"/>
      <c r="AH45" s="147">
        <v>0.34</v>
      </c>
      <c r="AI45" s="588">
        <v>0.28399999999999997</v>
      </c>
      <c r="AJ45" s="588">
        <v>8.4000000000000005E-2</v>
      </c>
      <c r="AK45" s="588">
        <v>0.58799999999999997</v>
      </c>
      <c r="AL45" s="588">
        <v>6.6000000000000003E-2</v>
      </c>
      <c r="AM45" s="588">
        <v>0.80800000000000005</v>
      </c>
      <c r="BC45" s="147"/>
      <c r="BD45" s="62"/>
      <c r="BE45" s="62"/>
      <c r="BG45" s="62"/>
      <c r="BH45" s="14"/>
    </row>
    <row r="46" spans="1:63" ht="15" customHeight="1" x14ac:dyDescent="0.3">
      <c r="A46" s="50">
        <v>43</v>
      </c>
      <c r="B46" s="553">
        <v>0.21199999999999999</v>
      </c>
      <c r="C46" s="553">
        <v>0.14699999999999999</v>
      </c>
      <c r="D46" s="553">
        <v>0.35899999999999999</v>
      </c>
      <c r="E46" s="553">
        <v>0.153</v>
      </c>
      <c r="F46" s="553">
        <v>0.48399999999999999</v>
      </c>
      <c r="G46" s="553">
        <v>0.63700000000000001</v>
      </c>
      <c r="H46" s="553">
        <v>0.17199999999999999</v>
      </c>
      <c r="I46" s="553">
        <v>0.14299999999999999</v>
      </c>
      <c r="J46" s="553">
        <v>0.315</v>
      </c>
      <c r="K46" s="588">
        <v>0.34200000000000003</v>
      </c>
      <c r="L46" s="588">
        <f xml:space="preserve"> 16.7%</f>
        <v>0.16699999999999998</v>
      </c>
      <c r="M46" s="588">
        <f xml:space="preserve"> 50.9%</f>
        <v>0.50900000000000001</v>
      </c>
      <c r="N46" s="553">
        <v>0.28899999999999998</v>
      </c>
      <c r="O46" s="553">
        <v>0.27800000000000002</v>
      </c>
      <c r="P46" s="553">
        <v>0.56699999999999995</v>
      </c>
      <c r="Q46" s="147">
        <v>0.14000000000000001</v>
      </c>
      <c r="R46" s="520">
        <v>7.0000000000000007E-2</v>
      </c>
      <c r="S46" s="147">
        <v>7.0000000000000007E-2</v>
      </c>
      <c r="T46" s="147">
        <v>0.03</v>
      </c>
      <c r="U46" s="147">
        <v>0.02</v>
      </c>
      <c r="V46" s="588"/>
      <c r="W46" s="588"/>
      <c r="X46" s="147"/>
      <c r="Y46" s="588"/>
      <c r="Z46" s="588">
        <v>2.7E-2</v>
      </c>
      <c r="AA46" s="588">
        <v>0.53300000000000003</v>
      </c>
      <c r="AB46" s="588">
        <v>4.3999999999999997E-2</v>
      </c>
      <c r="AC46" s="588">
        <v>0.66700000000000004</v>
      </c>
      <c r="AD46" s="588"/>
      <c r="AE46" s="147"/>
      <c r="AF46" s="588"/>
      <c r="AG46" s="588"/>
      <c r="AH46" s="147">
        <v>0.34</v>
      </c>
      <c r="AI46" s="588">
        <v>0.28100000000000003</v>
      </c>
      <c r="AJ46" s="588">
        <v>8.5999999999999993E-2</v>
      </c>
      <c r="AK46" s="588">
        <v>0.58699999999999997</v>
      </c>
      <c r="AL46" s="588">
        <v>6.4000000000000001E-2</v>
      </c>
      <c r="AM46" s="588">
        <v>0.81200000000000006</v>
      </c>
      <c r="AS46" s="147" t="s">
        <v>457</v>
      </c>
      <c r="AT46" s="585" t="str">
        <f>IF('Upper Extremity-Right'!T252="","",'Upper Extremity-Right'!T252)</f>
        <v/>
      </c>
      <c r="AU46" s="585" t="str">
        <f t="shared" si="0"/>
        <v/>
      </c>
      <c r="AV46" s="194">
        <f>IF(AU46="",0,VLOOKUP(AU46,$A$3:$AM$153,14))</f>
        <v>0</v>
      </c>
      <c r="AX46" s="147" t="s">
        <v>458</v>
      </c>
      <c r="AY46" s="585" t="str">
        <f>IF('Upper Extremity-Right'!V252="","",'Upper Extremity-Right'!V252)</f>
        <v/>
      </c>
      <c r="AZ46" s="585" t="str">
        <f>IF(AY46="","",ROUND(AY46,0))</f>
        <v/>
      </c>
      <c r="BA46" s="194">
        <f>IF(AZ46="",0,VLOOKUP(AZ46,$A$3:$AM$153,14))</f>
        <v>0</v>
      </c>
      <c r="BC46" s="147" t="s">
        <v>457</v>
      </c>
      <c r="BD46" s="585" t="str">
        <f>IF('Upper Extremity-Left'!T252="","",'Upper Extremity-Left'!T252)</f>
        <v/>
      </c>
      <c r="BE46" s="585" t="str">
        <f>IF(BD46="","",ROUND(BD46,0))</f>
        <v/>
      </c>
      <c r="BF46" s="194">
        <f>IF(BE46="",0,VLOOKUP(BE46,$A$3:$AM$153,14))</f>
        <v>0</v>
      </c>
      <c r="BG46" s="62"/>
      <c r="BH46" s="147" t="s">
        <v>458</v>
      </c>
      <c r="BI46" s="585" t="str">
        <f>IF('Upper Extremity-Left'!V252="","",'Upper Extremity-Left'!V252)</f>
        <v/>
      </c>
      <c r="BJ46" s="585" t="str">
        <f>IF(BI46="","",ROUND(BI46,0))</f>
        <v/>
      </c>
      <c r="BK46" s="194">
        <f>IF(BJ46="",0,VLOOKUP(BJ46,$A$3:$AM$153,14))</f>
        <v>0</v>
      </c>
    </row>
    <row r="47" spans="1:63" ht="15" customHeight="1" x14ac:dyDescent="0.3">
      <c r="A47" s="50">
        <v>44</v>
      </c>
      <c r="B47" s="553">
        <v>0.20599999999999999</v>
      </c>
      <c r="C47" s="553">
        <v>0.156</v>
      </c>
      <c r="D47" s="553">
        <v>0.36199999999999999</v>
      </c>
      <c r="E47" s="553">
        <v>0.14399999999999999</v>
      </c>
      <c r="F47" s="553">
        <v>0.502</v>
      </c>
      <c r="G47" s="553">
        <v>0.64600000000000002</v>
      </c>
      <c r="H47" s="553">
        <v>0.16600000000000001</v>
      </c>
      <c r="I47" s="553">
        <v>0.154</v>
      </c>
      <c r="J47" s="553">
        <v>0.32</v>
      </c>
      <c r="K47" s="588">
        <v>0.33600000000000002</v>
      </c>
      <c r="L47" s="588">
        <f xml:space="preserve"> 17.6%</f>
        <v>0.17600000000000002</v>
      </c>
      <c r="M47" s="588">
        <f xml:space="preserve"> 51.2%</f>
        <v>0.51200000000000001</v>
      </c>
      <c r="N47" s="553">
        <v>0.28199999999999997</v>
      </c>
      <c r="O47" s="553">
        <v>0.29399999999999998</v>
      </c>
      <c r="P47" s="553">
        <v>0.57599999999999996</v>
      </c>
      <c r="Q47" s="147">
        <v>0.15</v>
      </c>
      <c r="R47" s="520">
        <v>0.08</v>
      </c>
      <c r="S47" s="147">
        <v>7.0000000000000007E-2</v>
      </c>
      <c r="T47" s="147">
        <v>0.03</v>
      </c>
      <c r="U47" s="147">
        <v>0.02</v>
      </c>
      <c r="V47" s="588"/>
      <c r="W47" s="588"/>
      <c r="X47" s="147"/>
      <c r="Y47" s="588"/>
      <c r="Z47" s="588">
        <v>2.5999999999999999E-2</v>
      </c>
      <c r="AA47" s="588">
        <v>0.55400000000000005</v>
      </c>
      <c r="AB47" s="588">
        <v>4.2000000000000003E-2</v>
      </c>
      <c r="AC47" s="588">
        <v>0.67600000000000005</v>
      </c>
      <c r="AD47" s="588"/>
      <c r="AE47" s="147"/>
      <c r="AF47" s="588"/>
      <c r="AG47" s="588"/>
      <c r="AH47" s="147">
        <v>0.35</v>
      </c>
      <c r="AI47" s="588">
        <v>0.27800000000000002</v>
      </c>
      <c r="AJ47" s="588">
        <v>8.7999999999999995E-2</v>
      </c>
      <c r="AK47" s="588">
        <v>0.58599999999999997</v>
      </c>
      <c r="AL47" s="588">
        <v>6.2E-2</v>
      </c>
      <c r="AM47" s="588">
        <v>0.81599999999999995</v>
      </c>
      <c r="AS47" s="147" t="s">
        <v>459</v>
      </c>
      <c r="AT47" s="585" t="str">
        <f>IF('Upper Extremity-Right'!T253="","",'Upper Extremity-Right'!T253)</f>
        <v/>
      </c>
      <c r="AU47" s="585" t="str">
        <f t="shared" si="0"/>
        <v/>
      </c>
      <c r="AV47" s="194">
        <f>IF(AU47="",0,VLOOKUP(AU47,$A$3:$AM$153,15))</f>
        <v>0</v>
      </c>
      <c r="AX47" s="147" t="s">
        <v>458</v>
      </c>
      <c r="AY47" s="585" t="str">
        <f>IF('Upper Extremity-Right'!V253="","",'Upper Extremity-Right'!V253)</f>
        <v/>
      </c>
      <c r="AZ47" s="585" t="str">
        <f>IF(AY47="","",ROUND(AY47,0))</f>
        <v/>
      </c>
      <c r="BA47" s="194">
        <f>IF(AZ47="",0,VLOOKUP(AZ47,$A$3:$AM$153,15))</f>
        <v>0</v>
      </c>
      <c r="BC47" s="147" t="s">
        <v>459</v>
      </c>
      <c r="BD47" s="585" t="str">
        <f>IF('Upper Extremity-Left'!T253="","",'Upper Extremity-Left'!T253)</f>
        <v/>
      </c>
      <c r="BE47" s="585" t="str">
        <f>IF(BD47="","",ROUND(BD47,0))</f>
        <v/>
      </c>
      <c r="BF47" s="194">
        <f>IF(BE47="",0,VLOOKUP(BE47,$A$3:$AM$153,15))</f>
        <v>0</v>
      </c>
      <c r="BG47" s="62"/>
      <c r="BH47" s="147" t="s">
        <v>458</v>
      </c>
      <c r="BI47" s="585" t="str">
        <f>IF('Upper Extremity-Left'!V253="","",'Upper Extremity-Left'!V253)</f>
        <v/>
      </c>
      <c r="BJ47" s="585" t="str">
        <f>IF(BI47="","",ROUND(BI47,0))</f>
        <v/>
      </c>
      <c r="BK47" s="194">
        <f>IF(BJ47="",0,VLOOKUP(BJ47,$A$3:$AM$153,15))</f>
        <v>0</v>
      </c>
    </row>
    <row r="48" spans="1:63" ht="15" customHeight="1" x14ac:dyDescent="0.3">
      <c r="A48" s="50">
        <v>45</v>
      </c>
      <c r="B48" s="553">
        <v>0.2</v>
      </c>
      <c r="C48" s="553">
        <v>0.16500000000000001</v>
      </c>
      <c r="D48" s="553">
        <v>0.36499999999999999</v>
      </c>
      <c r="E48" s="553">
        <v>0.13500000000000001</v>
      </c>
      <c r="F48" s="553">
        <v>0.52</v>
      </c>
      <c r="G48" s="553">
        <v>0.65500000000000003</v>
      </c>
      <c r="H48" s="553">
        <v>0.16</v>
      </c>
      <c r="I48" s="553">
        <v>0.16500000000000001</v>
      </c>
      <c r="J48" s="553">
        <v>0.32500000000000001</v>
      </c>
      <c r="K48" s="588">
        <v>0.33</v>
      </c>
      <c r="L48" s="588">
        <f xml:space="preserve"> 18.5%</f>
        <v>0.185</v>
      </c>
      <c r="M48" s="588">
        <f xml:space="preserve"> 51.5%</f>
        <v>0.51500000000000001</v>
      </c>
      <c r="N48" s="553">
        <v>0.27500000000000002</v>
      </c>
      <c r="O48" s="553">
        <v>0.31</v>
      </c>
      <c r="P48" s="553">
        <v>0.58499999999999996</v>
      </c>
      <c r="Q48" s="147">
        <v>0.15</v>
      </c>
      <c r="R48" s="520">
        <v>0.08</v>
      </c>
      <c r="S48" s="147">
        <v>7.0000000000000007E-2</v>
      </c>
      <c r="T48" s="147">
        <v>0.03</v>
      </c>
      <c r="U48" s="147">
        <v>0.02</v>
      </c>
      <c r="V48" s="588"/>
      <c r="W48" s="588"/>
      <c r="X48" s="147"/>
      <c r="Y48" s="588"/>
      <c r="Z48" s="588">
        <v>2.5000000000000001E-2</v>
      </c>
      <c r="AA48" s="588">
        <v>0.57499999999999996</v>
      </c>
      <c r="AB48" s="588">
        <v>0.04</v>
      </c>
      <c r="AC48" s="588">
        <v>0.68500000000000005</v>
      </c>
      <c r="AD48" s="588"/>
      <c r="AE48" s="147"/>
      <c r="AF48" s="588"/>
      <c r="AG48" s="588"/>
      <c r="AH48" s="147">
        <v>0.36</v>
      </c>
      <c r="AI48" s="588">
        <v>0.27500000000000002</v>
      </c>
      <c r="AJ48" s="588">
        <v>0.09</v>
      </c>
      <c r="AK48" s="588">
        <v>0.58499999999999996</v>
      </c>
      <c r="AL48" s="588">
        <v>0.06</v>
      </c>
      <c r="AM48" s="588">
        <v>0.82</v>
      </c>
      <c r="AS48" s="147" t="s">
        <v>460</v>
      </c>
      <c r="AT48" s="585" t="str">
        <f>IF('Upper Extremity-Right'!T254="","",'Upper Extremity-Right'!T254)</f>
        <v/>
      </c>
      <c r="AU48" s="585" t="str">
        <f t="shared" si="0"/>
        <v/>
      </c>
      <c r="AV48" s="194">
        <f>IF(AU48="",0,VLOOKUP(AU48,$A$3:$AM$153,16))</f>
        <v>0</v>
      </c>
      <c r="BC48" s="147" t="s">
        <v>460</v>
      </c>
      <c r="BD48" s="585" t="str">
        <f>IF('Upper Extremity-Left'!T254="","",'Upper Extremity-Left'!T254)</f>
        <v/>
      </c>
      <c r="BE48" s="585" t="str">
        <f>IF(BD48="","",ROUND(BD48,0))</f>
        <v/>
      </c>
      <c r="BF48" s="194">
        <f>IF(BE48="",0,VLOOKUP(BE48,$A$3:$AM$153,16))</f>
        <v>0</v>
      </c>
      <c r="BG48" s="62"/>
      <c r="BH48" s="14"/>
    </row>
    <row r="49" spans="1:63" ht="15" customHeight="1" x14ac:dyDescent="0.3">
      <c r="A49" s="50">
        <v>46</v>
      </c>
      <c r="B49" s="553">
        <v>0.19400000000000001</v>
      </c>
      <c r="C49" s="553">
        <v>0.17399999999999999</v>
      </c>
      <c r="D49" s="553">
        <v>0.36799999999999999</v>
      </c>
      <c r="E49" s="553">
        <v>0.126</v>
      </c>
      <c r="F49" s="553">
        <v>0.53800000000000003</v>
      </c>
      <c r="G49" s="553">
        <v>0.66400000000000003</v>
      </c>
      <c r="H49" s="553">
        <v>0.154</v>
      </c>
      <c r="I49" s="553">
        <v>0.17599999999999999</v>
      </c>
      <c r="J49" s="553">
        <v>0.33</v>
      </c>
      <c r="K49" s="588">
        <v>0.32400000000000001</v>
      </c>
      <c r="L49" s="588">
        <f xml:space="preserve"> 19.4%</f>
        <v>0.19399999999999998</v>
      </c>
      <c r="M49" s="588">
        <f xml:space="preserve"> 51.8%</f>
        <v>0.51800000000000002</v>
      </c>
      <c r="N49" s="553">
        <v>0.26800000000000002</v>
      </c>
      <c r="O49" s="553">
        <v>0.32600000000000001</v>
      </c>
      <c r="P49" s="553">
        <v>0.59399999999999997</v>
      </c>
      <c r="Q49" s="147">
        <v>0.15</v>
      </c>
      <c r="R49" s="520">
        <v>0.08</v>
      </c>
      <c r="S49" s="147">
        <v>7.0000000000000007E-2</v>
      </c>
      <c r="T49" s="147">
        <v>0.04</v>
      </c>
      <c r="U49" s="147">
        <v>0.02</v>
      </c>
      <c r="V49" s="588"/>
      <c r="W49" s="588"/>
      <c r="X49" s="147"/>
      <c r="Y49" s="588"/>
      <c r="Z49" s="588">
        <v>2.4E-2</v>
      </c>
      <c r="AA49" s="588">
        <v>0.59599999999999997</v>
      </c>
      <c r="AB49" s="588">
        <v>3.7999999999999999E-2</v>
      </c>
      <c r="AC49" s="588">
        <v>0.69399999999999995</v>
      </c>
      <c r="AD49" s="588"/>
      <c r="AE49" s="147"/>
      <c r="AF49" s="588"/>
      <c r="AG49" s="588"/>
      <c r="AH49" s="147">
        <v>0.37</v>
      </c>
      <c r="AI49" s="588">
        <v>0.27200000000000002</v>
      </c>
      <c r="AJ49" s="588">
        <v>9.1999999999999998E-2</v>
      </c>
      <c r="AK49" s="588">
        <v>0.58399999999999996</v>
      </c>
      <c r="AL49" s="588">
        <v>5.8000000000000003E-2</v>
      </c>
      <c r="AM49" s="588">
        <v>0.82399999999999995</v>
      </c>
      <c r="BC49" s="147"/>
      <c r="BD49" s="62"/>
      <c r="BE49" s="62"/>
      <c r="BG49" s="62"/>
      <c r="BH49" s="14"/>
    </row>
    <row r="50" spans="1:63" ht="15" customHeight="1" x14ac:dyDescent="0.3">
      <c r="A50" s="50">
        <v>47</v>
      </c>
      <c r="B50" s="553">
        <v>0.188</v>
      </c>
      <c r="C50" s="553">
        <v>0.183</v>
      </c>
      <c r="D50" s="553">
        <v>0.371</v>
      </c>
      <c r="E50" s="553">
        <v>0.11700000000000001</v>
      </c>
      <c r="F50" s="553">
        <v>0.55600000000000005</v>
      </c>
      <c r="G50" s="553">
        <v>0.67300000000000004</v>
      </c>
      <c r="H50" s="553">
        <v>0.14799999999999999</v>
      </c>
      <c r="I50" s="553">
        <v>0.187</v>
      </c>
      <c r="J50" s="553">
        <v>0.33500000000000002</v>
      </c>
      <c r="K50" s="588">
        <v>0.318</v>
      </c>
      <c r="L50" s="588">
        <f xml:space="preserve"> 20.3%</f>
        <v>0.20300000000000001</v>
      </c>
      <c r="M50" s="588">
        <f xml:space="preserve"> 52.1%</f>
        <v>0.52100000000000002</v>
      </c>
      <c r="N50" s="553">
        <v>0.26100000000000001</v>
      </c>
      <c r="O50" s="553">
        <v>0.34200000000000003</v>
      </c>
      <c r="P50" s="553">
        <v>0.60299999999999998</v>
      </c>
      <c r="Q50" s="147">
        <v>0.16</v>
      </c>
      <c r="R50" s="520">
        <v>0.08</v>
      </c>
      <c r="S50" s="147">
        <v>7.0000000000000007E-2</v>
      </c>
      <c r="T50" s="147">
        <v>0.04</v>
      </c>
      <c r="U50" s="147">
        <v>0.02</v>
      </c>
      <c r="V50" s="588"/>
      <c r="W50" s="588"/>
      <c r="X50" s="147"/>
      <c r="Y50" s="588"/>
      <c r="Z50" s="588">
        <v>2.3E-2</v>
      </c>
      <c r="AA50" s="588">
        <v>0.61699999999999999</v>
      </c>
      <c r="AB50" s="588">
        <v>3.5999999999999997E-2</v>
      </c>
      <c r="AC50" s="588">
        <v>0.70299999999999996</v>
      </c>
      <c r="AD50" s="588"/>
      <c r="AE50" s="147"/>
      <c r="AF50" s="588"/>
      <c r="AG50" s="588"/>
      <c r="AH50" s="147">
        <v>0.38</v>
      </c>
      <c r="AI50" s="588">
        <v>0.26900000000000002</v>
      </c>
      <c r="AJ50" s="588">
        <v>9.4E-2</v>
      </c>
      <c r="AK50" s="588">
        <v>0.58299999999999996</v>
      </c>
      <c r="AL50" s="588">
        <v>5.6000000000000001E-2</v>
      </c>
      <c r="AM50" s="588">
        <v>0.82799999999999996</v>
      </c>
      <c r="AS50" s="147" t="s">
        <v>1570</v>
      </c>
      <c r="BC50" s="147" t="s">
        <v>1570</v>
      </c>
      <c r="BD50" s="62"/>
      <c r="BE50" s="62"/>
      <c r="BG50" s="62"/>
      <c r="BH50" s="14"/>
    </row>
    <row r="51" spans="1:63" ht="15" customHeight="1" x14ac:dyDescent="0.3">
      <c r="A51" s="50">
        <v>48</v>
      </c>
      <c r="B51" s="553">
        <v>0.182</v>
      </c>
      <c r="C51" s="553">
        <v>0.192</v>
      </c>
      <c r="D51" s="553">
        <v>0.374</v>
      </c>
      <c r="E51" s="553">
        <v>0.108</v>
      </c>
      <c r="F51" s="553">
        <v>0.57399999999999995</v>
      </c>
      <c r="G51" s="553">
        <v>0.68200000000000005</v>
      </c>
      <c r="H51" s="553">
        <v>0.14199999999999999</v>
      </c>
      <c r="I51" s="553">
        <v>0.19800000000000001</v>
      </c>
      <c r="J51" s="553">
        <v>0.34</v>
      </c>
      <c r="K51" s="588">
        <v>0.312</v>
      </c>
      <c r="L51" s="588">
        <f xml:space="preserve"> 21.2%</f>
        <v>0.21199999999999999</v>
      </c>
      <c r="M51" s="588">
        <f xml:space="preserve"> 52.4%</f>
        <v>0.52400000000000002</v>
      </c>
      <c r="N51" s="553">
        <v>0.254</v>
      </c>
      <c r="O51" s="553">
        <v>0.35799999999999998</v>
      </c>
      <c r="P51" s="553">
        <v>0.61199999999999999</v>
      </c>
      <c r="Q51" s="147">
        <v>0.16</v>
      </c>
      <c r="R51" s="520">
        <v>0.08</v>
      </c>
      <c r="S51" s="147">
        <v>0.08</v>
      </c>
      <c r="T51" s="147">
        <v>0.04</v>
      </c>
      <c r="U51" s="147">
        <v>0.02</v>
      </c>
      <c r="V51" s="588"/>
      <c r="W51" s="588"/>
      <c r="X51" s="147"/>
      <c r="Y51" s="588"/>
      <c r="Z51" s="588">
        <v>2.1999999999999999E-2</v>
      </c>
      <c r="AA51" s="588">
        <v>0.63800000000000001</v>
      </c>
      <c r="AB51" s="588">
        <v>3.4000000000000002E-2</v>
      </c>
      <c r="AC51" s="588">
        <v>0.71199999999999997</v>
      </c>
      <c r="AD51" s="588"/>
      <c r="AE51" s="147"/>
      <c r="AF51" s="588"/>
      <c r="AG51" s="588"/>
      <c r="AH51" s="147">
        <v>0.38</v>
      </c>
      <c r="AI51" s="588">
        <v>0.26600000000000001</v>
      </c>
      <c r="AJ51" s="588">
        <v>9.6000000000000002E-2</v>
      </c>
      <c r="AK51" s="588">
        <v>0.58199999999999996</v>
      </c>
      <c r="AL51" s="588">
        <v>5.3999999999999999E-2</v>
      </c>
      <c r="AM51" s="588">
        <v>0.83199999999999996</v>
      </c>
      <c r="AS51" s="147" t="s">
        <v>1519</v>
      </c>
      <c r="AT51" s="585" t="str">
        <f>IF('Upper Extremity-Right'!T319="","",'Upper Extremity-Right'!T319)</f>
        <v/>
      </c>
      <c r="AU51" s="585" t="str">
        <f t="shared" si="0"/>
        <v/>
      </c>
      <c r="AV51" s="194">
        <f>IF(AU51="",0,VLOOKUP(AU51,$A$3:$AM$153,8))</f>
        <v>0</v>
      </c>
      <c r="AX51" s="147" t="s">
        <v>163</v>
      </c>
      <c r="AY51" s="585" t="str">
        <f>IF('Upper Extremity-Right'!V319="","",'Upper Extremity-Right'!V319)</f>
        <v/>
      </c>
      <c r="AZ51" s="585" t="str">
        <f>IF(AY51="","",ROUND(AY51,0))</f>
        <v/>
      </c>
      <c r="BA51" s="194">
        <f>IF(AZ51="",0,VLOOKUP(AZ51,$A$3:$AM$153,8))</f>
        <v>0</v>
      </c>
      <c r="BC51" s="147" t="s">
        <v>1519</v>
      </c>
      <c r="BD51" s="585" t="str">
        <f>IF('Upper Extremity-Left'!T319="","",'Upper Extremity-Left'!T319)</f>
        <v/>
      </c>
      <c r="BE51" s="585" t="str">
        <f>IF(BD51="","",ROUND(BD51,0))</f>
        <v/>
      </c>
      <c r="BF51" s="194">
        <f>IF(BE51="",0,VLOOKUP(BE51,$A$3:$AM$153,8))</f>
        <v>0</v>
      </c>
      <c r="BG51" s="62"/>
      <c r="BH51" s="147" t="s">
        <v>163</v>
      </c>
      <c r="BI51" s="585" t="str">
        <f>IF('Upper Extremity-Left'!V319="","",'Upper Extremity-Left'!V319)</f>
        <v/>
      </c>
      <c r="BJ51" s="585" t="str">
        <f>IF(BI51="","",ROUND(BI51,0))</f>
        <v/>
      </c>
      <c r="BK51" s="194">
        <f>IF(BJ51="",0,VLOOKUP(BJ51,$A$3:$AM$153,8))</f>
        <v>0</v>
      </c>
    </row>
    <row r="52" spans="1:63" ht="15" customHeight="1" x14ac:dyDescent="0.3">
      <c r="A52" s="50">
        <v>49</v>
      </c>
      <c r="B52" s="553">
        <v>0.17599999999999999</v>
      </c>
      <c r="C52" s="553">
        <v>0.20100000000000001</v>
      </c>
      <c r="D52" s="553">
        <v>0.377</v>
      </c>
      <c r="E52" s="553">
        <v>9.9000000000000005E-2</v>
      </c>
      <c r="F52" s="553">
        <v>0.59199999999999997</v>
      </c>
      <c r="G52" s="553">
        <v>0.69099999999999995</v>
      </c>
      <c r="H52" s="553">
        <v>0.13600000000000001</v>
      </c>
      <c r="I52" s="553">
        <v>0.20899999999999999</v>
      </c>
      <c r="J52" s="553">
        <v>0.34499999999999997</v>
      </c>
      <c r="K52" s="588">
        <v>0.30599999999999999</v>
      </c>
      <c r="L52" s="588">
        <f xml:space="preserve"> 22.1%</f>
        <v>0.221</v>
      </c>
      <c r="M52" s="588">
        <f xml:space="preserve"> 52.7%</f>
        <v>0.52700000000000002</v>
      </c>
      <c r="N52" s="553">
        <v>0.247</v>
      </c>
      <c r="O52" s="553">
        <v>0.374</v>
      </c>
      <c r="P52" s="553">
        <v>0.621</v>
      </c>
      <c r="Q52" s="147">
        <v>0.16</v>
      </c>
      <c r="R52" s="520">
        <v>0.08</v>
      </c>
      <c r="S52" s="147">
        <v>0.08</v>
      </c>
      <c r="T52" s="147">
        <v>0.04</v>
      </c>
      <c r="U52" s="147">
        <v>0.02</v>
      </c>
      <c r="V52" s="588"/>
      <c r="W52" s="588"/>
      <c r="X52" s="147"/>
      <c r="Y52" s="588"/>
      <c r="Z52" s="588">
        <v>2.1000000000000001E-2</v>
      </c>
      <c r="AA52" s="588">
        <v>0.65900000000000003</v>
      </c>
      <c r="AB52" s="588">
        <v>3.2000000000000001E-2</v>
      </c>
      <c r="AC52" s="588">
        <v>0.72099999999999997</v>
      </c>
      <c r="AD52" s="588"/>
      <c r="AE52" s="147"/>
      <c r="AF52" s="588"/>
      <c r="AG52" s="588"/>
      <c r="AH52" s="147">
        <v>0.39</v>
      </c>
      <c r="AI52" s="588">
        <v>0.26300000000000001</v>
      </c>
      <c r="AJ52" s="588">
        <v>9.8000000000000004E-2</v>
      </c>
      <c r="AK52" s="588">
        <v>0.58099999999999996</v>
      </c>
      <c r="AL52" s="588">
        <v>5.1999999999999998E-2</v>
      </c>
      <c r="AM52" s="588">
        <v>0.83599999999999997</v>
      </c>
      <c r="AS52" s="147" t="s">
        <v>164</v>
      </c>
      <c r="AT52" s="585" t="str">
        <f>IF('Upper Extremity-Right'!T320="","",'Upper Extremity-Right'!T320)</f>
        <v/>
      </c>
      <c r="AU52" s="585" t="str">
        <f t="shared" si="0"/>
        <v/>
      </c>
      <c r="AV52" s="194">
        <f>IF(AU52="",0,VLOOKUP(AU52,$A$3:$AM$153,9))</f>
        <v>0</v>
      </c>
      <c r="AX52" s="147" t="s">
        <v>163</v>
      </c>
      <c r="AY52" s="585" t="str">
        <f>IF('Upper Extremity-Right'!V320="","",'Upper Extremity-Right'!V320)</f>
        <v/>
      </c>
      <c r="AZ52" s="585" t="str">
        <f>IF(AY52="","",ROUND(AY52,0))</f>
        <v/>
      </c>
      <c r="BA52" s="194">
        <f>IF(AZ52="",0,VLOOKUP(AZ52,$A$3:$AM$153,9))</f>
        <v>0</v>
      </c>
      <c r="BC52" s="147" t="s">
        <v>164</v>
      </c>
      <c r="BD52" s="585" t="str">
        <f>IF('Upper Extremity-Left'!T320="","",'Upper Extremity-Left'!T320)</f>
        <v/>
      </c>
      <c r="BE52" s="585" t="str">
        <f>IF(BD52="","",ROUND(BD52,0))</f>
        <v/>
      </c>
      <c r="BF52" s="194">
        <f>IF(BE52="",0,VLOOKUP(BE52,$A$3:$AM$153,9))</f>
        <v>0</v>
      </c>
      <c r="BG52" s="62"/>
      <c r="BH52" s="147" t="s">
        <v>163</v>
      </c>
      <c r="BI52" s="585" t="str">
        <f>IF('Upper Extremity-Left'!V320="","",'Upper Extremity-Left'!V320)</f>
        <v/>
      </c>
      <c r="BJ52" s="585" t="str">
        <f>IF(BI52="","",ROUND(BI52,0))</f>
        <v/>
      </c>
      <c r="BK52" s="194">
        <f>IF(BJ52="",0,VLOOKUP(BJ52,$A$3:$AM$153,9))</f>
        <v>0</v>
      </c>
    </row>
    <row r="53" spans="1:63" ht="15" customHeight="1" x14ac:dyDescent="0.3">
      <c r="A53" s="50">
        <v>50</v>
      </c>
      <c r="B53" s="553">
        <v>0.17</v>
      </c>
      <c r="C53" s="553">
        <v>0.21</v>
      </c>
      <c r="D53" s="553">
        <v>0.38</v>
      </c>
      <c r="E53" s="553">
        <v>0.09</v>
      </c>
      <c r="F53" s="553">
        <v>0.61</v>
      </c>
      <c r="G53" s="553">
        <v>0.7</v>
      </c>
      <c r="H53" s="553">
        <v>0.13</v>
      </c>
      <c r="I53" s="553">
        <v>0.22</v>
      </c>
      <c r="J53" s="553">
        <v>0.35</v>
      </c>
      <c r="K53" s="588">
        <v>0.3</v>
      </c>
      <c r="L53" s="588">
        <f xml:space="preserve"> 23%</f>
        <v>0.23</v>
      </c>
      <c r="M53" s="588">
        <f xml:space="preserve"> 53%</f>
        <v>0.53</v>
      </c>
      <c r="N53" s="553">
        <v>0.24</v>
      </c>
      <c r="O53" s="553">
        <v>0.39</v>
      </c>
      <c r="P53" s="553">
        <v>0.63</v>
      </c>
      <c r="Q53" s="147">
        <v>0.16</v>
      </c>
      <c r="R53" s="520">
        <v>0.08</v>
      </c>
      <c r="S53" s="147">
        <v>0.08</v>
      </c>
      <c r="T53" s="147">
        <v>0.04</v>
      </c>
      <c r="U53" s="147">
        <v>0.02</v>
      </c>
      <c r="V53" s="588"/>
      <c r="W53" s="588"/>
      <c r="X53" s="147"/>
      <c r="Y53" s="588"/>
      <c r="Z53" s="588">
        <v>0.02</v>
      </c>
      <c r="AA53" s="588">
        <v>0.68</v>
      </c>
      <c r="AB53" s="588">
        <v>0.03</v>
      </c>
      <c r="AC53" s="588">
        <v>0.73</v>
      </c>
      <c r="AD53" s="588"/>
      <c r="AE53" s="147"/>
      <c r="AF53" s="588"/>
      <c r="AG53" s="588"/>
      <c r="AH53" s="147">
        <v>0.4</v>
      </c>
      <c r="AI53" s="588">
        <v>0.26</v>
      </c>
      <c r="AJ53" s="588">
        <v>0.1</v>
      </c>
      <c r="AK53" s="588">
        <v>0.57999999999999996</v>
      </c>
      <c r="AL53" s="588">
        <v>0.05</v>
      </c>
      <c r="AM53" s="588">
        <v>0.84</v>
      </c>
      <c r="AS53" s="147" t="s">
        <v>165</v>
      </c>
      <c r="AT53" s="585" t="str">
        <f>IF('Upper Extremity-Right'!T321="","",'Upper Extremity-Right'!T321)</f>
        <v/>
      </c>
      <c r="AU53" s="585" t="str">
        <f t="shared" si="0"/>
        <v/>
      </c>
      <c r="AV53" s="194">
        <f>IF(AU53="",0,VLOOKUP(AU53,$A$3:$AM$153,10))</f>
        <v>0</v>
      </c>
      <c r="BC53" s="147" t="s">
        <v>165</v>
      </c>
      <c r="BD53" s="585" t="str">
        <f>IF('Upper Extremity-Left'!T321="","",'Upper Extremity-Left'!T321)</f>
        <v/>
      </c>
      <c r="BE53" s="585" t="str">
        <f>IF(BD53="","",ROUND(BD53,0))</f>
        <v/>
      </c>
      <c r="BF53" s="194">
        <f>IF(BE53="",0,VLOOKUP(BE53,$A$3:$AM$153,10))</f>
        <v>0</v>
      </c>
      <c r="BG53" s="62"/>
      <c r="BH53" s="14"/>
    </row>
    <row r="54" spans="1:63" ht="15" customHeight="1" x14ac:dyDescent="0.3">
      <c r="A54" s="50">
        <v>51</v>
      </c>
      <c r="B54" s="553">
        <v>0.16400000000000001</v>
      </c>
      <c r="C54" s="553">
        <v>0.218</v>
      </c>
      <c r="D54" s="553">
        <v>0.38200000000000001</v>
      </c>
      <c r="E54" s="553">
        <v>8.1000000000000003E-2</v>
      </c>
      <c r="F54" s="553">
        <v>0.629</v>
      </c>
      <c r="G54" s="553">
        <v>0.71</v>
      </c>
      <c r="H54" s="553">
        <v>0.123</v>
      </c>
      <c r="I54" s="553">
        <v>0.23200000000000001</v>
      </c>
      <c r="J54" s="553">
        <v>0.35499999999999998</v>
      </c>
      <c r="K54" s="588">
        <v>0.29399999999999998</v>
      </c>
      <c r="L54" s="588">
        <f xml:space="preserve"> 24%</f>
        <v>0.24</v>
      </c>
      <c r="M54" s="588">
        <f xml:space="preserve"> 53.4%</f>
        <v>0.53400000000000003</v>
      </c>
      <c r="N54" s="553">
        <v>0.23400000000000001</v>
      </c>
      <c r="O54" s="553">
        <v>0.40500000000000003</v>
      </c>
      <c r="P54" s="553">
        <v>0.63900000000000001</v>
      </c>
      <c r="Q54" s="147">
        <v>0.17</v>
      </c>
      <c r="R54" s="520">
        <v>0.09</v>
      </c>
      <c r="S54" s="147">
        <v>0.08</v>
      </c>
      <c r="T54" s="147">
        <v>0.04</v>
      </c>
      <c r="U54" s="147">
        <v>0.03</v>
      </c>
      <c r="V54" s="588"/>
      <c r="W54" s="588"/>
      <c r="X54" s="147"/>
      <c r="Y54" s="588"/>
      <c r="Z54" s="588">
        <v>1.7999999999999999E-2</v>
      </c>
      <c r="AA54" s="588">
        <v>0.70199999999999996</v>
      </c>
      <c r="AB54" s="588">
        <v>2.9000000000000001E-2</v>
      </c>
      <c r="AC54" s="588">
        <v>0.73799999999999999</v>
      </c>
      <c r="AD54" s="588"/>
      <c r="AE54" s="147"/>
      <c r="AF54" s="588"/>
      <c r="AG54" s="588"/>
      <c r="AH54" s="147">
        <v>0.41</v>
      </c>
      <c r="AI54" s="588">
        <v>0.25700000000000001</v>
      </c>
      <c r="AJ54" s="588">
        <v>0.10199999999999999</v>
      </c>
      <c r="AK54" s="588">
        <v>0.57799999999999996</v>
      </c>
      <c r="AL54" s="588">
        <v>4.8000000000000001E-2</v>
      </c>
      <c r="AM54" s="588">
        <v>0.84399999999999997</v>
      </c>
      <c r="BC54" s="147"/>
      <c r="BD54" s="62"/>
      <c r="BE54" s="62"/>
      <c r="BG54" s="62"/>
      <c r="BH54" s="14"/>
    </row>
    <row r="55" spans="1:63" ht="15" customHeight="1" x14ac:dyDescent="0.3">
      <c r="A55" s="50">
        <v>52</v>
      </c>
      <c r="B55" s="553">
        <v>0.158</v>
      </c>
      <c r="C55" s="553">
        <v>0.22600000000000001</v>
      </c>
      <c r="D55" s="553">
        <v>0.38400000000000001</v>
      </c>
      <c r="E55" s="553">
        <v>7.1999999999999995E-2</v>
      </c>
      <c r="F55" s="553">
        <v>0.64800000000000002</v>
      </c>
      <c r="G55" s="553">
        <v>0.72</v>
      </c>
      <c r="H55" s="553">
        <v>0.11600000000000001</v>
      </c>
      <c r="I55" s="553">
        <v>0.24399999999999999</v>
      </c>
      <c r="J55" s="553">
        <v>0.36</v>
      </c>
      <c r="K55" s="588">
        <v>0.28799999999999998</v>
      </c>
      <c r="L55" s="588">
        <f xml:space="preserve"> 25%</f>
        <v>0.25</v>
      </c>
      <c r="M55" s="588">
        <f xml:space="preserve"> 53.8%</f>
        <v>0.53799999999999992</v>
      </c>
      <c r="N55" s="553">
        <v>0.22800000000000001</v>
      </c>
      <c r="O55" s="553">
        <v>0.42</v>
      </c>
      <c r="P55" s="553">
        <v>0.64800000000000002</v>
      </c>
      <c r="Q55" s="147">
        <v>0.17</v>
      </c>
      <c r="R55" s="520">
        <v>0.09</v>
      </c>
      <c r="S55" s="147">
        <v>0.08</v>
      </c>
      <c r="T55" s="147">
        <v>0.04</v>
      </c>
      <c r="U55" s="147">
        <v>0.03</v>
      </c>
      <c r="V55" s="588"/>
      <c r="W55" s="588"/>
      <c r="X55" s="147"/>
      <c r="Y55" s="588"/>
      <c r="Z55" s="588">
        <v>1.6E-2</v>
      </c>
      <c r="AA55" s="588">
        <v>0.72399999999999998</v>
      </c>
      <c r="AB55" s="588">
        <v>2.8000000000000001E-2</v>
      </c>
      <c r="AC55" s="588">
        <v>0.746</v>
      </c>
      <c r="AD55" s="588"/>
      <c r="AE55" s="147"/>
      <c r="AF55" s="588"/>
      <c r="AG55" s="588"/>
      <c r="AH55" s="147">
        <v>0.42</v>
      </c>
      <c r="AI55" s="588">
        <v>0.254</v>
      </c>
      <c r="AJ55" s="588">
        <v>0.104</v>
      </c>
      <c r="AK55" s="588">
        <v>0.57599999999999996</v>
      </c>
      <c r="AL55" s="588">
        <v>4.5999999999999999E-2</v>
      </c>
      <c r="AM55" s="588">
        <v>0.84799999999999998</v>
      </c>
      <c r="AS55" s="147" t="s">
        <v>641</v>
      </c>
      <c r="AT55" s="585" t="str">
        <f>IF('Upper Extremity-Right'!T323="","",'Upper Extremity-Right'!T323)</f>
        <v/>
      </c>
      <c r="AU55" s="585" t="str">
        <f t="shared" si="0"/>
        <v/>
      </c>
      <c r="AV55" s="194">
        <f>IF(AU55="",0,VLOOKUP(AU55,$A$3:$AM$153,11))</f>
        <v>0</v>
      </c>
      <c r="AX55" s="147" t="s">
        <v>642</v>
      </c>
      <c r="AY55" s="585" t="str">
        <f>IF('Upper Extremity-Right'!V323="","",'Upper Extremity-Right'!V323)</f>
        <v/>
      </c>
      <c r="AZ55" s="585" t="str">
        <f>IF(AY55="","",ROUND(AY55,0))</f>
        <v/>
      </c>
      <c r="BA55" s="194">
        <f>IF(AZ55="",0,VLOOKUP(AZ55,$A$3:$AM$153,11))</f>
        <v>0</v>
      </c>
      <c r="BC55" s="147" t="s">
        <v>641</v>
      </c>
      <c r="BD55" s="585" t="str">
        <f>IF('Upper Extremity-Left'!T323="","",'Upper Extremity-Left'!T323)</f>
        <v/>
      </c>
      <c r="BE55" s="585" t="str">
        <f>IF(BD55="","",ROUND(BD55,0))</f>
        <v/>
      </c>
      <c r="BF55" s="194">
        <f>IF(BE55="",0,VLOOKUP(BE55,$A$3:$AM$153,11))</f>
        <v>0</v>
      </c>
      <c r="BG55" s="62"/>
      <c r="BH55" s="147" t="s">
        <v>642</v>
      </c>
      <c r="BI55" s="585" t="str">
        <f>IF('Upper Extremity-Left'!V323="","",'Upper Extremity-Left'!V323)</f>
        <v/>
      </c>
      <c r="BJ55" s="585" t="str">
        <f>IF(BI55="","",ROUND(BI55,0))</f>
        <v/>
      </c>
      <c r="BK55" s="194">
        <f>IF(BJ55="",0,VLOOKUP(BJ55,$A$3:$AM$153,11))</f>
        <v>0</v>
      </c>
    </row>
    <row r="56" spans="1:63" ht="15" customHeight="1" x14ac:dyDescent="0.3">
      <c r="A56" s="50">
        <v>53</v>
      </c>
      <c r="B56" s="553">
        <v>0.152</v>
      </c>
      <c r="C56" s="553">
        <v>0.23400000000000001</v>
      </c>
      <c r="D56" s="553">
        <v>0.38600000000000001</v>
      </c>
      <c r="E56" s="553">
        <v>6.3E-2</v>
      </c>
      <c r="F56" s="553">
        <v>0.66700000000000004</v>
      </c>
      <c r="G56" s="553">
        <v>0.73</v>
      </c>
      <c r="H56" s="553">
        <v>0.109</v>
      </c>
      <c r="I56" s="553">
        <v>0.25600000000000001</v>
      </c>
      <c r="J56" s="553">
        <v>0.36499999999999999</v>
      </c>
      <c r="K56" s="588">
        <v>0.28199999999999997</v>
      </c>
      <c r="L56" s="588">
        <f xml:space="preserve"> 26%</f>
        <v>0.26</v>
      </c>
      <c r="M56" s="588">
        <f xml:space="preserve"> 54.2%</f>
        <v>0.54200000000000004</v>
      </c>
      <c r="N56" s="553">
        <v>0.222</v>
      </c>
      <c r="O56" s="553">
        <v>0.435</v>
      </c>
      <c r="P56" s="553">
        <v>0.65700000000000003</v>
      </c>
      <c r="Q56" s="147">
        <v>0.17</v>
      </c>
      <c r="R56" s="520">
        <v>0.09</v>
      </c>
      <c r="S56" s="147">
        <v>0.08</v>
      </c>
      <c r="T56" s="147">
        <v>0.04</v>
      </c>
      <c r="U56" s="147">
        <v>0.03</v>
      </c>
      <c r="V56" s="588"/>
      <c r="W56" s="588"/>
      <c r="X56" s="147"/>
      <c r="Y56" s="588"/>
      <c r="Z56" s="588">
        <v>1.4E-2</v>
      </c>
      <c r="AA56" s="588">
        <v>0.746</v>
      </c>
      <c r="AB56" s="588">
        <v>2.7E-2</v>
      </c>
      <c r="AC56" s="588">
        <v>0.754</v>
      </c>
      <c r="AD56" s="588"/>
      <c r="AE56" s="147"/>
      <c r="AF56" s="588"/>
      <c r="AG56" s="588"/>
      <c r="AH56" s="147">
        <v>0.42</v>
      </c>
      <c r="AI56" s="588">
        <v>0.251</v>
      </c>
      <c r="AJ56" s="588">
        <v>0.106</v>
      </c>
      <c r="AK56" s="588">
        <v>0.57399999999999995</v>
      </c>
      <c r="AL56" s="588">
        <v>4.3999999999999997E-2</v>
      </c>
      <c r="AM56" s="588">
        <v>0.85199999999999998</v>
      </c>
      <c r="AS56" s="147" t="s">
        <v>455</v>
      </c>
      <c r="AT56" s="585" t="str">
        <f>IF('Upper Extremity-Right'!T324="","",'Upper Extremity-Right'!T324)</f>
        <v/>
      </c>
      <c r="AU56" s="585" t="str">
        <f t="shared" si="0"/>
        <v/>
      </c>
      <c r="AV56" s="194">
        <f>IF(AU56="",0,VLOOKUP(AU56,$A$3:$AM$153,12))</f>
        <v>0</v>
      </c>
      <c r="AX56" s="147" t="s">
        <v>642</v>
      </c>
      <c r="AY56" s="585" t="str">
        <f>IF('Upper Extremity-Right'!V324="","",'Upper Extremity-Right'!V324)</f>
        <v/>
      </c>
      <c r="AZ56" s="585" t="str">
        <f>IF(AY56="","",ROUND(AY56,0))</f>
        <v/>
      </c>
      <c r="BA56" s="194">
        <f>IF(AZ56="",0,VLOOKUP(AZ56,$A$3:$AM$153,12))</f>
        <v>0</v>
      </c>
      <c r="BC56" s="147" t="s">
        <v>455</v>
      </c>
      <c r="BD56" s="585" t="str">
        <f>IF('Upper Extremity-Left'!T324="","",'Upper Extremity-Left'!T324)</f>
        <v/>
      </c>
      <c r="BE56" s="585" t="str">
        <f>IF(BD56="","",ROUND(BD56,0))</f>
        <v/>
      </c>
      <c r="BF56" s="194">
        <f>IF(BE56="",0,VLOOKUP(BE56,$A$3:$AM$153,12))</f>
        <v>0</v>
      </c>
      <c r="BG56" s="62"/>
      <c r="BH56" s="147" t="s">
        <v>642</v>
      </c>
      <c r="BI56" s="585" t="str">
        <f>IF('Upper Extremity-Left'!V324="","",'Upper Extremity-Left'!V324)</f>
        <v/>
      </c>
      <c r="BJ56" s="585" t="str">
        <f>IF(BI56="","",ROUND(BI56,0))</f>
        <v/>
      </c>
      <c r="BK56" s="194">
        <f>IF(BJ56="",0,VLOOKUP(BJ56,$A$3:$AM$153,12))</f>
        <v>0</v>
      </c>
    </row>
    <row r="57" spans="1:63" ht="15" customHeight="1" x14ac:dyDescent="0.3">
      <c r="A57" s="50">
        <v>54</v>
      </c>
      <c r="B57" s="553">
        <v>0.14599999999999999</v>
      </c>
      <c r="C57" s="553">
        <v>0.24199999999999999</v>
      </c>
      <c r="D57" s="553">
        <v>0.38800000000000001</v>
      </c>
      <c r="E57" s="553">
        <v>5.3999999999999999E-2</v>
      </c>
      <c r="F57" s="553">
        <v>0.68600000000000005</v>
      </c>
      <c r="G57" s="553">
        <v>0.74</v>
      </c>
      <c r="H57" s="553">
        <v>0.10199999999999999</v>
      </c>
      <c r="I57" s="553">
        <v>0.26800000000000002</v>
      </c>
      <c r="J57" s="553">
        <v>0.37</v>
      </c>
      <c r="K57" s="588">
        <v>0.27600000000000002</v>
      </c>
      <c r="L57" s="588">
        <f xml:space="preserve"> 27%</f>
        <v>0.27</v>
      </c>
      <c r="M57" s="588">
        <f xml:space="preserve"> 54.6%</f>
        <v>0.54600000000000004</v>
      </c>
      <c r="N57" s="553">
        <v>0.216</v>
      </c>
      <c r="O57" s="553">
        <v>0.45</v>
      </c>
      <c r="P57" s="553">
        <v>0.66600000000000004</v>
      </c>
      <c r="Q57" s="147">
        <v>0.18</v>
      </c>
      <c r="R57" s="520">
        <v>0.09</v>
      </c>
      <c r="S57" s="147">
        <v>0.08</v>
      </c>
      <c r="T57" s="147">
        <v>0.04</v>
      </c>
      <c r="U57" s="147">
        <v>0.03</v>
      </c>
      <c r="V57" s="588"/>
      <c r="W57" s="588"/>
      <c r="X57" s="147"/>
      <c r="Y57" s="588"/>
      <c r="Z57" s="588">
        <v>1.2E-2</v>
      </c>
      <c r="AA57" s="588">
        <v>0.76800000000000002</v>
      </c>
      <c r="AB57" s="588">
        <v>2.5999999999999999E-2</v>
      </c>
      <c r="AC57" s="588">
        <v>0.76200000000000001</v>
      </c>
      <c r="AD57" s="588"/>
      <c r="AE57" s="147"/>
      <c r="AF57" s="588"/>
      <c r="AG57" s="588"/>
      <c r="AH57" s="147">
        <v>0.43</v>
      </c>
      <c r="AI57" s="588">
        <v>0.248</v>
      </c>
      <c r="AJ57" s="588">
        <v>0.108</v>
      </c>
      <c r="AK57" s="588">
        <v>0.57199999999999995</v>
      </c>
      <c r="AL57" s="588">
        <v>4.2000000000000003E-2</v>
      </c>
      <c r="AM57" s="588">
        <v>0.85599999999999998</v>
      </c>
      <c r="AS57" s="147" t="s">
        <v>456</v>
      </c>
      <c r="AT57" s="585" t="str">
        <f>IF('Upper Extremity-Right'!T325="","",'Upper Extremity-Right'!T325)</f>
        <v/>
      </c>
      <c r="AU57" s="585" t="str">
        <f t="shared" si="0"/>
        <v/>
      </c>
      <c r="AV57" s="194">
        <f>IF(AU57="",0,VLOOKUP(AU57,$A$3:$AM$153,13))</f>
        <v>0</v>
      </c>
      <c r="BC57" s="147" t="s">
        <v>456</v>
      </c>
      <c r="BD57" s="585" t="str">
        <f>IF('Upper Extremity-Left'!T325="","",'Upper Extremity-Left'!T325)</f>
        <v/>
      </c>
      <c r="BE57" s="585" t="str">
        <f>IF(BD57="","",ROUND(BD57,0))</f>
        <v/>
      </c>
      <c r="BF57" s="194">
        <f>IF(BE57="",0,VLOOKUP(BE57,$A$3:$AM$153,13))</f>
        <v>0</v>
      </c>
      <c r="BG57" s="62"/>
      <c r="BH57" s="14"/>
    </row>
    <row r="58" spans="1:63" ht="15" customHeight="1" x14ac:dyDescent="0.3">
      <c r="A58" s="50">
        <v>55</v>
      </c>
      <c r="B58" s="553">
        <v>0.14000000000000001</v>
      </c>
      <c r="C58" s="553">
        <v>0.25</v>
      </c>
      <c r="D58" s="553">
        <v>0.39</v>
      </c>
      <c r="E58" s="553">
        <v>4.4999999999999998E-2</v>
      </c>
      <c r="F58" s="553">
        <v>0.70499999999999996</v>
      </c>
      <c r="G58" s="553">
        <v>0.75</v>
      </c>
      <c r="H58" s="553">
        <v>9.5000000000000001E-2</v>
      </c>
      <c r="I58" s="553">
        <v>0.28000000000000003</v>
      </c>
      <c r="J58" s="553">
        <v>0.375</v>
      </c>
      <c r="K58" s="588">
        <v>0.27</v>
      </c>
      <c r="L58" s="588">
        <f xml:space="preserve"> 28%</f>
        <v>0.28000000000000003</v>
      </c>
      <c r="M58" s="588">
        <f xml:space="preserve"> 55%</f>
        <v>0.55000000000000004</v>
      </c>
      <c r="N58" s="553">
        <v>0.21</v>
      </c>
      <c r="O58" s="553">
        <v>0.46500000000000002</v>
      </c>
      <c r="P58" s="553">
        <v>0.67500000000000004</v>
      </c>
      <c r="Q58" s="147">
        <v>0.18</v>
      </c>
      <c r="R58" s="520">
        <v>0.09</v>
      </c>
      <c r="S58" s="147">
        <v>0.09</v>
      </c>
      <c r="T58" s="147">
        <v>0.04</v>
      </c>
      <c r="U58" s="147">
        <v>0.03</v>
      </c>
      <c r="V58" s="588"/>
      <c r="W58" s="588"/>
      <c r="X58" s="147"/>
      <c r="Y58" s="588"/>
      <c r="Z58" s="588">
        <v>0.01</v>
      </c>
      <c r="AA58" s="588">
        <v>0.79</v>
      </c>
      <c r="AB58" s="588">
        <v>2.5000000000000001E-2</v>
      </c>
      <c r="AC58" s="588">
        <v>0.77</v>
      </c>
      <c r="AD58" s="588"/>
      <c r="AE58" s="147"/>
      <c r="AF58" s="588"/>
      <c r="AG58" s="588"/>
      <c r="AH58" s="147">
        <v>0.44</v>
      </c>
      <c r="AI58" s="588">
        <v>0.245</v>
      </c>
      <c r="AJ58" s="588">
        <v>0.11</v>
      </c>
      <c r="AK58" s="588">
        <v>0.56999999999999995</v>
      </c>
      <c r="AL58" s="588">
        <v>0.04</v>
      </c>
      <c r="AM58" s="588">
        <v>0.86</v>
      </c>
      <c r="BC58" s="147"/>
      <c r="BD58" s="62"/>
      <c r="BE58" s="62"/>
      <c r="BG58" s="62"/>
      <c r="BH58" s="14"/>
    </row>
    <row r="59" spans="1:63" ht="15" customHeight="1" x14ac:dyDescent="0.3">
      <c r="A59" s="50">
        <v>56</v>
      </c>
      <c r="B59" s="553">
        <v>0.13400000000000001</v>
      </c>
      <c r="C59" s="553">
        <v>0.25800000000000001</v>
      </c>
      <c r="D59" s="553">
        <v>0.39200000000000002</v>
      </c>
      <c r="E59" s="553">
        <v>3.5999999999999997E-2</v>
      </c>
      <c r="F59" s="553">
        <v>0.72399999999999998</v>
      </c>
      <c r="G59" s="553">
        <v>0.76</v>
      </c>
      <c r="H59" s="553">
        <v>8.7999999999999995E-2</v>
      </c>
      <c r="I59" s="553">
        <v>0.29199999999999998</v>
      </c>
      <c r="J59" s="553">
        <v>0.38</v>
      </c>
      <c r="K59" s="588">
        <v>0.26400000000000001</v>
      </c>
      <c r="L59" s="588">
        <f xml:space="preserve"> 29%</f>
        <v>0.28999999999999998</v>
      </c>
      <c r="M59" s="588">
        <f xml:space="preserve"> 55.4%</f>
        <v>0.55399999999999994</v>
      </c>
      <c r="N59" s="553">
        <v>0.20399999999999999</v>
      </c>
      <c r="O59" s="553">
        <v>0.48</v>
      </c>
      <c r="P59" s="553">
        <v>0.68400000000000005</v>
      </c>
      <c r="Q59" s="147">
        <v>0.18</v>
      </c>
      <c r="R59" s="520">
        <v>0.09</v>
      </c>
      <c r="S59" s="147">
        <v>0.09</v>
      </c>
      <c r="T59" s="147">
        <v>0.04</v>
      </c>
      <c r="U59" s="147">
        <v>0.03</v>
      </c>
      <c r="V59" s="588"/>
      <c r="W59" s="588"/>
      <c r="X59" s="147"/>
      <c r="Y59" s="588"/>
      <c r="Z59" s="588">
        <v>8.0000000000000002E-3</v>
      </c>
      <c r="AA59" s="588">
        <v>0.81200000000000006</v>
      </c>
      <c r="AB59" s="588">
        <v>2.4E-2</v>
      </c>
      <c r="AC59" s="588">
        <v>0.77800000000000002</v>
      </c>
      <c r="AD59" s="588"/>
      <c r="AE59" s="147"/>
      <c r="AF59" s="588"/>
      <c r="AG59" s="588"/>
      <c r="AH59" s="147">
        <v>0.45</v>
      </c>
      <c r="AI59" s="588">
        <v>0.24199999999999999</v>
      </c>
      <c r="AJ59" s="588">
        <v>0.112</v>
      </c>
      <c r="AK59" s="588">
        <v>0.56799999999999995</v>
      </c>
      <c r="AL59" s="588">
        <v>3.7999999999999999E-2</v>
      </c>
      <c r="AM59" s="588">
        <v>0.86399999999999999</v>
      </c>
      <c r="AS59" s="147" t="s">
        <v>457</v>
      </c>
      <c r="AT59" s="585" t="str">
        <f>IF('Upper Extremity-Right'!T327="","",'Upper Extremity-Right'!T327)</f>
        <v/>
      </c>
      <c r="AU59" s="585" t="str">
        <f t="shared" si="0"/>
        <v/>
      </c>
      <c r="AV59" s="194">
        <f>IF(AU59="",0,VLOOKUP(AU59,$A$3:$AM$153,14))</f>
        <v>0</v>
      </c>
      <c r="AX59" s="147" t="s">
        <v>458</v>
      </c>
      <c r="AY59" s="585" t="str">
        <f>IF('Upper Extremity-Right'!V327="","",'Upper Extremity-Right'!V327)</f>
        <v/>
      </c>
      <c r="AZ59" s="585" t="str">
        <f>IF(AY59="","",ROUND(AY59,0))</f>
        <v/>
      </c>
      <c r="BA59" s="194">
        <f>IF(AZ59="",0,VLOOKUP(AZ59,$A$3:$AM$153,14))</f>
        <v>0</v>
      </c>
      <c r="BC59" s="147" t="s">
        <v>457</v>
      </c>
      <c r="BD59" s="585" t="str">
        <f>IF('Upper Extremity-Left'!T327="","",'Upper Extremity-Left'!T327)</f>
        <v/>
      </c>
      <c r="BE59" s="585" t="str">
        <f>IF(BD59="","",ROUND(BD59,0))</f>
        <v/>
      </c>
      <c r="BF59" s="194">
        <f>IF(BE59="",0,VLOOKUP(BE59,$A$3:$AM$153,14))</f>
        <v>0</v>
      </c>
      <c r="BG59" s="62"/>
      <c r="BH59" s="147" t="s">
        <v>458</v>
      </c>
      <c r="BI59" s="585" t="str">
        <f>IF('Upper Extremity-Left'!V327="","",'Upper Extremity-Left'!V327)</f>
        <v/>
      </c>
      <c r="BJ59" s="585" t="str">
        <f>IF(BI59="","",ROUND(BI59,0))</f>
        <v/>
      </c>
      <c r="BK59" s="194">
        <f>IF(BJ59="",0,VLOOKUP(BJ59,$A$3:$AM$153,14))</f>
        <v>0</v>
      </c>
    </row>
    <row r="60" spans="1:63" ht="15" customHeight="1" x14ac:dyDescent="0.3">
      <c r="A60" s="50">
        <v>57</v>
      </c>
      <c r="B60" s="553">
        <v>0.128</v>
      </c>
      <c r="C60" s="553">
        <v>0.26600000000000001</v>
      </c>
      <c r="D60" s="553">
        <v>0.39400000000000002</v>
      </c>
      <c r="E60" s="553">
        <v>2.7E-2</v>
      </c>
      <c r="F60" s="553">
        <v>0.74299999999999999</v>
      </c>
      <c r="G60" s="553">
        <v>0.77</v>
      </c>
      <c r="H60" s="553">
        <v>8.1000000000000003E-2</v>
      </c>
      <c r="I60" s="553">
        <v>0.30399999999999999</v>
      </c>
      <c r="J60" s="553">
        <v>0.38500000000000001</v>
      </c>
      <c r="K60" s="588">
        <v>0.25800000000000001</v>
      </c>
      <c r="L60" s="588">
        <f xml:space="preserve"> 30%</f>
        <v>0.3</v>
      </c>
      <c r="M60" s="588">
        <f xml:space="preserve"> 55.8%</f>
        <v>0.55799999999999994</v>
      </c>
      <c r="N60" s="553">
        <v>0.19800000000000001</v>
      </c>
      <c r="O60" s="553">
        <v>0.495</v>
      </c>
      <c r="P60" s="553">
        <v>0.69299999999999995</v>
      </c>
      <c r="Q60" s="147">
        <v>0.19</v>
      </c>
      <c r="R60" s="520">
        <v>0.1</v>
      </c>
      <c r="S60" s="147">
        <v>0.09</v>
      </c>
      <c r="T60" s="147">
        <v>0.04</v>
      </c>
      <c r="U60" s="147">
        <v>0.03</v>
      </c>
      <c r="V60" s="588"/>
      <c r="W60" s="588"/>
      <c r="X60" s="147"/>
      <c r="Y60" s="588"/>
      <c r="Z60" s="588">
        <v>6.0000000000000001E-3</v>
      </c>
      <c r="AA60" s="588">
        <v>0.83399999999999996</v>
      </c>
      <c r="AB60" s="588">
        <v>2.3E-2</v>
      </c>
      <c r="AC60" s="588">
        <v>0.78600000000000003</v>
      </c>
      <c r="AD60" s="588"/>
      <c r="AE60" s="147"/>
      <c r="AF60" s="588"/>
      <c r="AG60" s="588"/>
      <c r="AH60" s="147">
        <v>0.46</v>
      </c>
      <c r="AI60" s="588">
        <v>0.23899999999999999</v>
      </c>
      <c r="AJ60" s="588">
        <v>0.114</v>
      </c>
      <c r="AK60" s="588">
        <v>0.56599999999999995</v>
      </c>
      <c r="AL60" s="588">
        <v>3.5999999999999997E-2</v>
      </c>
      <c r="AM60" s="588">
        <v>0.86799999999999999</v>
      </c>
      <c r="AS60" s="147" t="s">
        <v>459</v>
      </c>
      <c r="AT60" s="585" t="str">
        <f>IF('Upper Extremity-Right'!T328="","",'Upper Extremity-Right'!T328)</f>
        <v/>
      </c>
      <c r="AU60" s="585" t="str">
        <f t="shared" si="0"/>
        <v/>
      </c>
      <c r="AV60" s="194">
        <f>IF(AU60="",0,VLOOKUP(AU60,$A$3:$AM$153,15))</f>
        <v>0</v>
      </c>
      <c r="AX60" s="147" t="s">
        <v>458</v>
      </c>
      <c r="AY60" s="585" t="str">
        <f>IF('Upper Extremity-Right'!V328="","",'Upper Extremity-Right'!V328)</f>
        <v/>
      </c>
      <c r="AZ60" s="585" t="str">
        <f>IF(AY60="","",ROUND(AY60,0))</f>
        <v/>
      </c>
      <c r="BA60" s="194">
        <f>IF(AZ60="",0,VLOOKUP(AZ60,$A$3:$AM$153,15))</f>
        <v>0</v>
      </c>
      <c r="BC60" s="147" t="s">
        <v>459</v>
      </c>
      <c r="BD60" s="585" t="str">
        <f>IF('Upper Extremity-Left'!T328="","",'Upper Extremity-Left'!T328)</f>
        <v/>
      </c>
      <c r="BE60" s="585" t="str">
        <f>IF(BD60="","",ROUND(BD60,0))</f>
        <v/>
      </c>
      <c r="BF60" s="194">
        <f>IF(BE60="",0,VLOOKUP(BE60,$A$3:$AM$153,15))</f>
        <v>0</v>
      </c>
      <c r="BG60" s="62"/>
      <c r="BH60" s="147" t="s">
        <v>458</v>
      </c>
      <c r="BI60" s="585" t="str">
        <f>IF('Upper Extremity-Left'!V328="","",'Upper Extremity-Left'!V328)</f>
        <v/>
      </c>
      <c r="BJ60" s="585" t="str">
        <f>IF(BI60="","",ROUND(BI60,0))</f>
        <v/>
      </c>
      <c r="BK60" s="194">
        <f>IF(BJ60="",0,VLOOKUP(BJ60,$A$3:$AM$153,15))</f>
        <v>0</v>
      </c>
    </row>
    <row r="61" spans="1:63" ht="15" customHeight="1" x14ac:dyDescent="0.3">
      <c r="A61" s="50">
        <v>58</v>
      </c>
      <c r="B61" s="553">
        <v>0.122</v>
      </c>
      <c r="C61" s="553">
        <v>0.27400000000000002</v>
      </c>
      <c r="D61" s="553">
        <v>0.39600000000000002</v>
      </c>
      <c r="E61" s="553">
        <v>1.7999999999999999E-2</v>
      </c>
      <c r="F61" s="553">
        <v>0.76200000000000001</v>
      </c>
      <c r="G61" s="553">
        <v>0.78</v>
      </c>
      <c r="H61" s="553">
        <v>7.3999999999999996E-2</v>
      </c>
      <c r="I61" s="553">
        <v>0.316</v>
      </c>
      <c r="J61" s="553">
        <v>0.39</v>
      </c>
      <c r="K61" s="588">
        <v>0.252</v>
      </c>
      <c r="L61" s="588">
        <f xml:space="preserve"> 31%</f>
        <v>0.31</v>
      </c>
      <c r="M61" s="588">
        <f xml:space="preserve"> 56.2%</f>
        <v>0.56200000000000006</v>
      </c>
      <c r="N61" s="553">
        <v>0.192</v>
      </c>
      <c r="O61" s="553">
        <v>0.51</v>
      </c>
      <c r="P61" s="553">
        <v>0.70199999999999996</v>
      </c>
      <c r="Q61" s="147">
        <v>0.19</v>
      </c>
      <c r="R61" s="520">
        <v>0.1</v>
      </c>
      <c r="S61" s="147">
        <v>0.09</v>
      </c>
      <c r="T61" s="147">
        <v>0.04</v>
      </c>
      <c r="U61" s="147">
        <v>0.03</v>
      </c>
      <c r="V61" s="588"/>
      <c r="W61" s="588"/>
      <c r="X61" s="147"/>
      <c r="Y61" s="588"/>
      <c r="Z61" s="588">
        <v>4.0000000000000001E-3</v>
      </c>
      <c r="AA61" s="588">
        <v>0.85599999999999998</v>
      </c>
      <c r="AB61" s="588">
        <v>2.1999999999999999E-2</v>
      </c>
      <c r="AC61" s="588">
        <v>0.79400000000000004</v>
      </c>
      <c r="AD61" s="588"/>
      <c r="AE61" s="147"/>
      <c r="AF61" s="588"/>
      <c r="AG61" s="588"/>
      <c r="AH61" s="147">
        <v>0.46</v>
      </c>
      <c r="AI61" s="588">
        <v>0.23599999999999999</v>
      </c>
      <c r="AJ61" s="588">
        <v>0.11600000000000001</v>
      </c>
      <c r="AK61" s="588">
        <v>0.56399999999999995</v>
      </c>
      <c r="AL61" s="588">
        <v>3.4000000000000002E-2</v>
      </c>
      <c r="AM61" s="588">
        <v>0.872</v>
      </c>
      <c r="AS61" s="147" t="s">
        <v>460</v>
      </c>
      <c r="AT61" s="585" t="str">
        <f>IF('Upper Extremity-Right'!T329="","",'Upper Extremity-Right'!T329)</f>
        <v/>
      </c>
      <c r="AU61" s="585" t="str">
        <f t="shared" si="0"/>
        <v/>
      </c>
      <c r="AV61" s="194">
        <f>IF(AU61="",0,VLOOKUP(AU61,$A$3:$AM$153,16))</f>
        <v>0</v>
      </c>
      <c r="BC61" s="147" t="s">
        <v>460</v>
      </c>
      <c r="BD61" s="585" t="str">
        <f>IF('Upper Extremity-Left'!T329="","",'Upper Extremity-Left'!T329)</f>
        <v/>
      </c>
      <c r="BE61" s="585" t="str">
        <f>IF(BD61="","",ROUND(BD61,0))</f>
        <v/>
      </c>
      <c r="BF61" s="194">
        <f>IF(BE61="",0,VLOOKUP(BE61,$A$3:$AM$153,16))</f>
        <v>0</v>
      </c>
      <c r="BG61" s="62"/>
      <c r="BH61" s="14"/>
    </row>
    <row r="62" spans="1:63" ht="15" customHeight="1" x14ac:dyDescent="0.3">
      <c r="A62" s="50">
        <v>59</v>
      </c>
      <c r="B62" s="553">
        <v>0.11600000000000001</v>
      </c>
      <c r="C62" s="553">
        <v>0.28199999999999997</v>
      </c>
      <c r="D62" s="553">
        <v>0.39800000000000002</v>
      </c>
      <c r="E62" s="553">
        <v>8.9999999999999993E-3</v>
      </c>
      <c r="F62" s="553">
        <v>0.78100000000000003</v>
      </c>
      <c r="G62" s="553">
        <v>0.79</v>
      </c>
      <c r="H62" s="553">
        <v>6.7000000000000004E-2</v>
      </c>
      <c r="I62" s="553">
        <v>0.32800000000000001</v>
      </c>
      <c r="J62" s="553">
        <v>0.39500000000000002</v>
      </c>
      <c r="K62" s="588">
        <v>0.246</v>
      </c>
      <c r="L62" s="588">
        <f xml:space="preserve"> 32%</f>
        <v>0.32</v>
      </c>
      <c r="M62" s="588">
        <f xml:space="preserve"> 56.6%</f>
        <v>0.56600000000000006</v>
      </c>
      <c r="N62" s="553">
        <v>0.186</v>
      </c>
      <c r="O62" s="553">
        <v>0.52500000000000002</v>
      </c>
      <c r="P62" s="553">
        <v>0.71099999999999997</v>
      </c>
      <c r="Q62" s="147">
        <v>0.19</v>
      </c>
      <c r="R62" s="520">
        <v>0.1</v>
      </c>
      <c r="S62" s="147">
        <v>0.09</v>
      </c>
      <c r="T62" s="147">
        <v>0.04</v>
      </c>
      <c r="U62" s="147">
        <v>0.03</v>
      </c>
      <c r="V62" s="588"/>
      <c r="W62" s="588"/>
      <c r="X62" s="147"/>
      <c r="Y62" s="588"/>
      <c r="Z62" s="588">
        <v>2E-3</v>
      </c>
      <c r="AA62" s="588">
        <v>0.878</v>
      </c>
      <c r="AB62" s="588">
        <v>2.1000000000000001E-2</v>
      </c>
      <c r="AC62" s="588">
        <v>0.80200000000000005</v>
      </c>
      <c r="AD62" s="588"/>
      <c r="AE62" s="147"/>
      <c r="AF62" s="588"/>
      <c r="AG62" s="588"/>
      <c r="AH62" s="147">
        <v>0.47</v>
      </c>
      <c r="AI62" s="588">
        <v>0.23300000000000001</v>
      </c>
      <c r="AJ62" s="588">
        <v>0.11799999999999999</v>
      </c>
      <c r="AK62" s="588">
        <v>0.56200000000000006</v>
      </c>
      <c r="AL62" s="588">
        <v>3.2000000000000001E-2</v>
      </c>
      <c r="AM62" s="588">
        <v>0.876</v>
      </c>
      <c r="BC62" s="147"/>
      <c r="BD62" s="62"/>
      <c r="BE62" s="62"/>
      <c r="BG62" s="62"/>
      <c r="BH62" s="14"/>
    </row>
    <row r="63" spans="1:63" ht="15" customHeight="1" x14ac:dyDescent="0.3">
      <c r="A63" s="50">
        <v>60</v>
      </c>
      <c r="B63" s="553">
        <v>0.11</v>
      </c>
      <c r="C63" s="553">
        <v>0.28999999999999998</v>
      </c>
      <c r="D63" s="553">
        <v>0.4</v>
      </c>
      <c r="E63" s="553">
        <v>0</v>
      </c>
      <c r="F63" s="553">
        <v>0.8</v>
      </c>
      <c r="G63" s="553">
        <v>0.8</v>
      </c>
      <c r="H63" s="553">
        <v>0.06</v>
      </c>
      <c r="I63" s="553">
        <v>0.34</v>
      </c>
      <c r="J63" s="553">
        <v>0.4</v>
      </c>
      <c r="K63" s="588">
        <v>0.24</v>
      </c>
      <c r="L63" s="588">
        <f xml:space="preserve"> 33%</f>
        <v>0.33</v>
      </c>
      <c r="M63" s="588">
        <f xml:space="preserve"> 57%</f>
        <v>0.56999999999999995</v>
      </c>
      <c r="N63" s="553">
        <v>0.18</v>
      </c>
      <c r="O63" s="553">
        <v>0.54</v>
      </c>
      <c r="P63" s="553">
        <v>0.72</v>
      </c>
      <c r="Q63" s="147">
        <v>0.2</v>
      </c>
      <c r="R63" s="520">
        <v>0.1</v>
      </c>
      <c r="S63" s="147">
        <v>0.09</v>
      </c>
      <c r="T63" s="147">
        <v>0.05</v>
      </c>
      <c r="U63" s="147">
        <v>0.03</v>
      </c>
      <c r="V63" s="588"/>
      <c r="W63" s="588"/>
      <c r="X63" s="147"/>
      <c r="Y63" s="588"/>
      <c r="Z63" s="588">
        <v>0</v>
      </c>
      <c r="AA63" s="588">
        <v>0.9</v>
      </c>
      <c r="AB63" s="588">
        <v>0.02</v>
      </c>
      <c r="AC63" s="588">
        <v>0.81</v>
      </c>
      <c r="AD63" s="588"/>
      <c r="AE63" s="147"/>
      <c r="AF63" s="588"/>
      <c r="AG63" s="588"/>
      <c r="AH63" s="147">
        <v>0.48</v>
      </c>
      <c r="AI63" s="588">
        <v>0.23</v>
      </c>
      <c r="AJ63" s="588">
        <v>0.12</v>
      </c>
      <c r="AK63" s="588">
        <v>0.56000000000000005</v>
      </c>
      <c r="AL63" s="588">
        <v>0.03</v>
      </c>
      <c r="AM63" s="588">
        <v>0.88</v>
      </c>
      <c r="AS63" s="147" t="s">
        <v>1655</v>
      </c>
      <c r="BC63" s="147" t="s">
        <v>1655</v>
      </c>
      <c r="BD63" s="62"/>
      <c r="BE63" s="62"/>
      <c r="BG63" s="62"/>
      <c r="BH63" s="14"/>
    </row>
    <row r="64" spans="1:63" ht="15" customHeight="1" x14ac:dyDescent="0.3">
      <c r="A64" s="50">
        <v>61</v>
      </c>
      <c r="B64" s="553">
        <v>0.105</v>
      </c>
      <c r="C64" s="553">
        <v>0.29799999999999999</v>
      </c>
      <c r="D64" s="553">
        <v>0.40300000000000002</v>
      </c>
      <c r="E64" s="50"/>
      <c r="F64" s="50"/>
      <c r="G64" s="50"/>
      <c r="H64" s="553">
        <v>5.3999999999999999E-2</v>
      </c>
      <c r="I64" s="553">
        <v>0.35099999999999998</v>
      </c>
      <c r="J64" s="553">
        <v>0.40500000000000003</v>
      </c>
      <c r="K64" s="588">
        <v>0.23400000000000001</v>
      </c>
      <c r="L64" s="588">
        <f xml:space="preserve"> 33.9%</f>
        <v>0.33899999999999997</v>
      </c>
      <c r="M64" s="588">
        <f xml:space="preserve"> 57.3%</f>
        <v>0.57299999999999995</v>
      </c>
      <c r="N64" s="553">
        <v>0.17399999999999999</v>
      </c>
      <c r="O64" s="553">
        <v>0.55600000000000005</v>
      </c>
      <c r="P64" s="553">
        <v>0.73</v>
      </c>
      <c r="Q64" s="147">
        <v>0.2</v>
      </c>
      <c r="R64" s="520">
        <v>0.1</v>
      </c>
      <c r="S64" s="147">
        <v>0.09</v>
      </c>
      <c r="T64" s="147">
        <v>0.05</v>
      </c>
      <c r="U64" s="147">
        <v>0.03</v>
      </c>
      <c r="V64" s="588"/>
      <c r="W64" s="588"/>
      <c r="X64" s="147"/>
      <c r="Y64" s="588"/>
      <c r="Z64" s="588"/>
      <c r="AA64" s="588"/>
      <c r="AB64" s="588">
        <v>1.7999999999999999E-2</v>
      </c>
      <c r="AC64" s="588">
        <v>0.81899999999999995</v>
      </c>
      <c r="AD64" s="588"/>
      <c r="AE64" s="147"/>
      <c r="AF64" s="588"/>
      <c r="AG64" s="588"/>
      <c r="AH64" s="147">
        <v>0.49</v>
      </c>
      <c r="AI64" s="588">
        <v>0.22800000000000001</v>
      </c>
      <c r="AJ64" s="588">
        <v>0.122</v>
      </c>
      <c r="AK64" s="588">
        <v>0.55900000000000005</v>
      </c>
      <c r="AL64" s="588">
        <v>2.9000000000000001E-2</v>
      </c>
      <c r="AM64" s="588">
        <v>0.88300000000000001</v>
      </c>
      <c r="AS64" s="147" t="s">
        <v>461</v>
      </c>
      <c r="AT64" s="585" t="str">
        <f>IF('Upper Extremity-Right'!T394="","",'Upper Extremity-Right'!T394)</f>
        <v/>
      </c>
      <c r="AU64" s="585" t="str">
        <f t="shared" si="0"/>
        <v/>
      </c>
      <c r="AV64" s="194">
        <f>IF(AU64="",0,VLOOKUP(AU64,$A$3:$AM$153,22))</f>
        <v>0</v>
      </c>
      <c r="AX64" s="147" t="s">
        <v>462</v>
      </c>
      <c r="AY64" s="585" t="str">
        <f>IF('Upper Extremity-Right'!V394="","",'Upper Extremity-Right'!V394)</f>
        <v/>
      </c>
      <c r="AZ64" s="585" t="str">
        <f>IF(AY64="","",ROUND(AY64,0))</f>
        <v/>
      </c>
      <c r="BA64" s="194">
        <f>IF(AZ64="",0,VLOOKUP(AZ64,$A$3:$AM$153,22))</f>
        <v>0</v>
      </c>
      <c r="BC64" s="147" t="s">
        <v>461</v>
      </c>
      <c r="BD64" s="585" t="str">
        <f>IF('Upper Extremity-Left'!T394="","",'Upper Extremity-Left'!T394)</f>
        <v/>
      </c>
      <c r="BE64" s="585" t="str">
        <f>IF(BD64="","",ROUND(BD64,0))</f>
        <v/>
      </c>
      <c r="BF64" s="194">
        <f>IF(BE64="",0,VLOOKUP(BE64,$A$3:$AM$153,22))</f>
        <v>0</v>
      </c>
      <c r="BG64" s="62"/>
      <c r="BH64" s="147" t="s">
        <v>462</v>
      </c>
      <c r="BI64" s="585" t="str">
        <f>IF('Upper Extremity-Left'!V394="","",'Upper Extremity-Left'!V394)</f>
        <v/>
      </c>
      <c r="BJ64" s="585" t="str">
        <f>IF(BI64="","",ROUND(BI64,0))</f>
        <v/>
      </c>
      <c r="BK64" s="194">
        <f>IF(BJ64="",0,VLOOKUP(BJ64,$A$3:$AM$153,22))</f>
        <v>0</v>
      </c>
    </row>
    <row r="65" spans="1:63" ht="15" customHeight="1" x14ac:dyDescent="0.3">
      <c r="A65" s="50">
        <v>62</v>
      </c>
      <c r="B65" s="553">
        <v>0.1</v>
      </c>
      <c r="C65" s="553">
        <v>0.30599999999999999</v>
      </c>
      <c r="D65" s="553">
        <v>0.40600000000000003</v>
      </c>
      <c r="E65" s="50"/>
      <c r="F65" s="50"/>
      <c r="G65" s="50"/>
      <c r="H65" s="553">
        <v>4.8000000000000001E-2</v>
      </c>
      <c r="I65" s="553">
        <v>0.36199999999999999</v>
      </c>
      <c r="J65" s="553">
        <v>0.41</v>
      </c>
      <c r="K65" s="588">
        <v>0.22800000000000001</v>
      </c>
      <c r="L65" s="588">
        <f xml:space="preserve"> 34.8%</f>
        <v>0.34799999999999998</v>
      </c>
      <c r="M65" s="588">
        <f xml:space="preserve"> 57.6%</f>
        <v>0.57600000000000007</v>
      </c>
      <c r="N65" s="553">
        <v>0.16800000000000001</v>
      </c>
      <c r="O65" s="553">
        <v>0.57199999999999995</v>
      </c>
      <c r="P65" s="553">
        <v>0.74</v>
      </c>
      <c r="Q65" s="147">
        <v>0.2</v>
      </c>
      <c r="R65" s="520">
        <v>0.1</v>
      </c>
      <c r="S65" s="147">
        <v>0.1</v>
      </c>
      <c r="T65" s="147">
        <v>0.05</v>
      </c>
      <c r="U65" s="147">
        <v>0.03</v>
      </c>
      <c r="V65" s="588"/>
      <c r="W65" s="588"/>
      <c r="X65" s="147"/>
      <c r="Y65" s="588"/>
      <c r="Z65" s="588"/>
      <c r="AA65" s="588"/>
      <c r="AB65" s="588">
        <v>1.6E-2</v>
      </c>
      <c r="AC65" s="588">
        <v>0.82799999999999996</v>
      </c>
      <c r="AD65" s="588"/>
      <c r="AE65" s="147"/>
      <c r="AF65" s="588"/>
      <c r="AG65" s="588"/>
      <c r="AH65" s="147">
        <v>0.49</v>
      </c>
      <c r="AI65" s="588">
        <v>0.22600000000000001</v>
      </c>
      <c r="AJ65" s="588">
        <v>0.124</v>
      </c>
      <c r="AK65" s="588">
        <v>0.55800000000000005</v>
      </c>
      <c r="AL65" s="588">
        <v>2.8000000000000001E-2</v>
      </c>
      <c r="AM65" s="588">
        <v>0.88600000000000001</v>
      </c>
      <c r="AS65" s="147" t="s">
        <v>463</v>
      </c>
      <c r="AT65" s="585" t="str">
        <f>IF('Upper Extremity-Right'!T395="","",'Upper Extremity-Right'!T395)</f>
        <v/>
      </c>
      <c r="AU65" s="585" t="str">
        <f t="shared" si="0"/>
        <v/>
      </c>
      <c r="AV65" s="194">
        <f>IF(AU65="",0,VLOOKUP(AU65,$A$3:$AM$153,23))</f>
        <v>0</v>
      </c>
      <c r="AX65" s="147" t="s">
        <v>462</v>
      </c>
      <c r="AY65" s="585" t="str">
        <f>IF('Upper Extremity-Right'!V395="","",'Upper Extremity-Right'!V395)</f>
        <v/>
      </c>
      <c r="AZ65" s="585" t="str">
        <f>IF(AY65="","",ROUND(AY65,0))</f>
        <v/>
      </c>
      <c r="BA65" s="194">
        <f>IF(AZ65="",0,VLOOKUP(AZ65,$A$3:$AM$153,23))</f>
        <v>0</v>
      </c>
      <c r="BC65" s="147" t="s">
        <v>463</v>
      </c>
      <c r="BD65" s="585" t="str">
        <f>IF('Upper Extremity-Left'!T395="","",'Upper Extremity-Left'!T395)</f>
        <v/>
      </c>
      <c r="BE65" s="585" t="str">
        <f>IF(BD65="","",ROUND(BD65,0))</f>
        <v/>
      </c>
      <c r="BF65" s="194">
        <f>IF(BE65="",0,VLOOKUP(BE65,$A$3:$AM$153,23))</f>
        <v>0</v>
      </c>
      <c r="BG65" s="62"/>
      <c r="BH65" s="147" t="s">
        <v>462</v>
      </c>
      <c r="BI65" s="585" t="str">
        <f>IF('Upper Extremity-Left'!V395="","",'Upper Extremity-Left'!V395)</f>
        <v/>
      </c>
      <c r="BJ65" s="585" t="str">
        <f>IF(BI65="","",ROUND(BI65,0))</f>
        <v/>
      </c>
      <c r="BK65" s="194">
        <f>IF(BJ65="",0,VLOOKUP(BJ65,$A$3:$AM$153,23))</f>
        <v>0</v>
      </c>
    </row>
    <row r="66" spans="1:63" ht="15" customHeight="1" x14ac:dyDescent="0.3">
      <c r="A66" s="50">
        <v>63</v>
      </c>
      <c r="B66" s="553">
        <v>9.5000000000000001E-2</v>
      </c>
      <c r="C66" s="553">
        <v>0.314</v>
      </c>
      <c r="D66" s="553">
        <v>0.40899999999999997</v>
      </c>
      <c r="E66" s="50"/>
      <c r="F66" s="50"/>
      <c r="G66" s="50"/>
      <c r="H66" s="553">
        <v>4.2000000000000003E-2</v>
      </c>
      <c r="I66" s="553">
        <v>0.373</v>
      </c>
      <c r="J66" s="553">
        <v>0.41499999999999998</v>
      </c>
      <c r="K66" s="588">
        <v>0.222</v>
      </c>
      <c r="L66" s="588">
        <f xml:space="preserve"> 35.7%</f>
        <v>0.35700000000000004</v>
      </c>
      <c r="M66" s="588">
        <f xml:space="preserve"> 57.9%</f>
        <v>0.57899999999999996</v>
      </c>
      <c r="N66" s="553">
        <v>0.16200000000000001</v>
      </c>
      <c r="O66" s="553">
        <v>0.58799999999999997</v>
      </c>
      <c r="P66" s="553">
        <v>0.75</v>
      </c>
      <c r="Q66" s="147">
        <v>0.21</v>
      </c>
      <c r="R66" s="520">
        <v>0.11</v>
      </c>
      <c r="S66" s="147">
        <v>0.1</v>
      </c>
      <c r="T66" s="147">
        <v>0.05</v>
      </c>
      <c r="U66" s="147">
        <v>0.03</v>
      </c>
      <c r="V66" s="588"/>
      <c r="W66" s="588"/>
      <c r="X66" s="147"/>
      <c r="Y66" s="588"/>
      <c r="Z66" s="588"/>
      <c r="AA66" s="588"/>
      <c r="AB66" s="588">
        <v>1.4E-2</v>
      </c>
      <c r="AC66" s="588">
        <v>0.83699999999999997</v>
      </c>
      <c r="AD66" s="588"/>
      <c r="AE66" s="147"/>
      <c r="AF66" s="588"/>
      <c r="AG66" s="588"/>
      <c r="AH66" s="147">
        <v>0.5</v>
      </c>
      <c r="AI66" s="588">
        <v>0.224</v>
      </c>
      <c r="AJ66" s="588">
        <v>0.126</v>
      </c>
      <c r="AK66" s="588">
        <v>0.55700000000000005</v>
      </c>
      <c r="AL66" s="588">
        <v>2.7E-2</v>
      </c>
      <c r="AM66" s="588">
        <v>0.88900000000000001</v>
      </c>
      <c r="AS66" s="147" t="s">
        <v>464</v>
      </c>
      <c r="AT66" s="585" t="str">
        <f>IF('Upper Extremity-Right'!T396="","",'Upper Extremity-Right'!T396)</f>
        <v/>
      </c>
      <c r="AU66" s="585" t="str">
        <f t="shared" si="0"/>
        <v/>
      </c>
      <c r="AV66" s="194">
        <f>IF(AU66="",0,VLOOKUP(AU66,$A$3:$AM$153,24))</f>
        <v>0</v>
      </c>
      <c r="BC66" s="147" t="s">
        <v>464</v>
      </c>
      <c r="BD66" s="585" t="str">
        <f>IF('Upper Extremity-Left'!T396="","",'Upper Extremity-Left'!T396)</f>
        <v/>
      </c>
      <c r="BE66" s="585" t="str">
        <f>IF(BD66="","",ROUND(BD66,0))</f>
        <v/>
      </c>
      <c r="BF66" s="194">
        <f>IF(BE66="",0,VLOOKUP(BE66,$A$3:$AM$153,24))</f>
        <v>0</v>
      </c>
      <c r="BG66" s="62"/>
      <c r="BH66" s="14"/>
    </row>
    <row r="67" spans="1:63" ht="15" customHeight="1" x14ac:dyDescent="0.3">
      <c r="A67" s="50">
        <v>64</v>
      </c>
      <c r="B67" s="553">
        <v>0.09</v>
      </c>
      <c r="C67" s="553">
        <v>0.32200000000000001</v>
      </c>
      <c r="D67" s="553">
        <v>0.41199999999999998</v>
      </c>
      <c r="E67" s="50"/>
      <c r="F67" s="50"/>
      <c r="G67" s="50"/>
      <c r="H67" s="553">
        <v>3.5999999999999997E-2</v>
      </c>
      <c r="I67" s="553">
        <v>0.38400000000000001</v>
      </c>
      <c r="J67" s="553">
        <v>0.42</v>
      </c>
      <c r="K67" s="588">
        <v>0.216</v>
      </c>
      <c r="L67" s="588">
        <f xml:space="preserve"> 36.6%</f>
        <v>0.36599999999999999</v>
      </c>
      <c r="M67" s="588">
        <f xml:space="preserve"> 58.2%</f>
        <v>0.58200000000000007</v>
      </c>
      <c r="N67" s="553">
        <v>0.156</v>
      </c>
      <c r="O67" s="553">
        <v>0.60399999999999998</v>
      </c>
      <c r="P67" s="553">
        <v>0.76</v>
      </c>
      <c r="Q67" s="147">
        <v>0.21</v>
      </c>
      <c r="R67" s="520">
        <v>0.11</v>
      </c>
      <c r="S67" s="147">
        <v>0.1</v>
      </c>
      <c r="T67" s="147">
        <v>0.05</v>
      </c>
      <c r="U67" s="147">
        <v>0.03</v>
      </c>
      <c r="V67" s="588"/>
      <c r="W67" s="588"/>
      <c r="X67" s="147"/>
      <c r="Y67" s="588"/>
      <c r="Z67" s="588"/>
      <c r="AA67" s="588"/>
      <c r="AB67" s="588">
        <v>1.2E-2</v>
      </c>
      <c r="AC67" s="588">
        <v>0.84599999999999997</v>
      </c>
      <c r="AD67" s="588"/>
      <c r="AE67" s="147"/>
      <c r="AF67" s="588"/>
      <c r="AG67" s="588"/>
      <c r="AH67" s="147">
        <v>0.51</v>
      </c>
      <c r="AI67" s="588">
        <v>0.222</v>
      </c>
      <c r="AJ67" s="588">
        <v>0.128</v>
      </c>
      <c r="AK67" s="588">
        <v>0.55600000000000005</v>
      </c>
      <c r="AL67" s="588">
        <v>2.5999999999999999E-2</v>
      </c>
      <c r="AM67" s="588">
        <v>0.89200000000000002</v>
      </c>
      <c r="AS67" s="147" t="s">
        <v>465</v>
      </c>
      <c r="AT67" s="585" t="str">
        <f>IF('Upper Extremity-Right'!T397="","",'Upper Extremity-Right'!T397)</f>
        <v/>
      </c>
      <c r="AU67" s="585" t="str">
        <f t="shared" si="0"/>
        <v/>
      </c>
      <c r="AV67" s="194">
        <f>IF(AU67="",0,VLOOKUP(AU67,$A$3:$AM$153,25))</f>
        <v>0</v>
      </c>
      <c r="BC67" s="147" t="s">
        <v>465</v>
      </c>
      <c r="BD67" s="585" t="str">
        <f>IF('Upper Extremity-Left'!T397="","",'Upper Extremity-Left'!T397)</f>
        <v/>
      </c>
      <c r="BE67" s="585" t="str">
        <f>IF(BD67="","",ROUND(BD67,0))</f>
        <v/>
      </c>
      <c r="BF67" s="194">
        <f>IF(BE67="",0,VLOOKUP(BE67,$A$3:$AM$153,25))</f>
        <v>0</v>
      </c>
      <c r="BG67" s="62"/>
      <c r="BH67" s="14"/>
    </row>
    <row r="68" spans="1:63" ht="15" customHeight="1" x14ac:dyDescent="0.3">
      <c r="A68" s="50">
        <v>65</v>
      </c>
      <c r="B68" s="553">
        <v>8.5000000000000006E-2</v>
      </c>
      <c r="C68" s="553">
        <v>0.33</v>
      </c>
      <c r="D68" s="553">
        <v>0.41499999999999998</v>
      </c>
      <c r="E68" s="50"/>
      <c r="F68" s="50"/>
      <c r="G68" s="50"/>
      <c r="H68" s="553">
        <v>0.03</v>
      </c>
      <c r="I68" s="553">
        <v>0.39500000000000002</v>
      </c>
      <c r="J68" s="553">
        <v>0.42499999999999999</v>
      </c>
      <c r="K68" s="588">
        <v>0.21</v>
      </c>
      <c r="L68" s="588">
        <f xml:space="preserve"> 37.5%</f>
        <v>0.375</v>
      </c>
      <c r="M68" s="588">
        <f xml:space="preserve"> 58.5%</f>
        <v>0.58499999999999996</v>
      </c>
      <c r="N68" s="553">
        <v>0.15</v>
      </c>
      <c r="O68" s="553">
        <v>0.62</v>
      </c>
      <c r="P68" s="553">
        <v>0.77</v>
      </c>
      <c r="Q68" s="147">
        <v>0.21</v>
      </c>
      <c r="R68" s="520">
        <v>0.11</v>
      </c>
      <c r="S68" s="147">
        <v>0.1</v>
      </c>
      <c r="T68" s="147">
        <v>0.05</v>
      </c>
      <c r="U68" s="147">
        <v>0.03</v>
      </c>
      <c r="V68" s="588"/>
      <c r="W68" s="588"/>
      <c r="X68" s="147"/>
      <c r="Y68" s="588"/>
      <c r="Z68" s="588"/>
      <c r="AA68" s="588"/>
      <c r="AB68" s="588">
        <v>0.01</v>
      </c>
      <c r="AC68" s="588">
        <v>0.85499999999999998</v>
      </c>
      <c r="AD68" s="588"/>
      <c r="AE68" s="147"/>
      <c r="AF68" s="588"/>
      <c r="AG68" s="588"/>
      <c r="AH68" s="147">
        <v>0.52</v>
      </c>
      <c r="AI68" s="588">
        <v>0.22</v>
      </c>
      <c r="AJ68" s="588">
        <v>0.13</v>
      </c>
      <c r="AK68" s="588">
        <v>0.55500000000000005</v>
      </c>
      <c r="AL68" s="588">
        <v>2.5000000000000001E-2</v>
      </c>
      <c r="AM68" s="588">
        <v>0.89500000000000002</v>
      </c>
      <c r="BC68" s="147"/>
      <c r="BD68" s="62"/>
      <c r="BE68" s="62"/>
      <c r="BG68" s="62"/>
      <c r="BH68" s="14"/>
    </row>
    <row r="69" spans="1:63" ht="15" customHeight="1" x14ac:dyDescent="0.3">
      <c r="A69" s="50">
        <v>66</v>
      </c>
      <c r="B69" s="553">
        <v>0.08</v>
      </c>
      <c r="C69" s="553">
        <v>0.33800000000000002</v>
      </c>
      <c r="D69" s="553">
        <v>0.41799999999999998</v>
      </c>
      <c r="E69" s="50"/>
      <c r="F69" s="50"/>
      <c r="G69" s="50"/>
      <c r="H69" s="553">
        <v>2.4E-2</v>
      </c>
      <c r="I69" s="553">
        <v>0.40600000000000003</v>
      </c>
      <c r="J69" s="553">
        <v>0.43</v>
      </c>
      <c r="K69" s="588">
        <v>0.20399999999999999</v>
      </c>
      <c r="L69" s="588">
        <f xml:space="preserve"> 38.4%</f>
        <v>0.38400000000000001</v>
      </c>
      <c r="M69" s="588">
        <f xml:space="preserve"> 58.8%</f>
        <v>0.58799999999999997</v>
      </c>
      <c r="N69" s="553">
        <v>0.14399999999999999</v>
      </c>
      <c r="O69" s="553">
        <v>0.63600000000000001</v>
      </c>
      <c r="P69" s="553">
        <v>0.78</v>
      </c>
      <c r="Q69" s="147">
        <v>0.22</v>
      </c>
      <c r="R69" s="520">
        <v>0.11</v>
      </c>
      <c r="S69" s="147">
        <v>0.1</v>
      </c>
      <c r="T69" s="147">
        <v>0.05</v>
      </c>
      <c r="U69" s="147">
        <v>0.03</v>
      </c>
      <c r="V69" s="588"/>
      <c r="W69" s="588"/>
      <c r="X69" s="147"/>
      <c r="Y69" s="588"/>
      <c r="Z69" s="588"/>
      <c r="AA69" s="588"/>
      <c r="AB69" s="588">
        <v>8.0000000000000002E-3</v>
      </c>
      <c r="AC69" s="588">
        <v>0.86399999999999999</v>
      </c>
      <c r="AD69" s="588"/>
      <c r="AE69" s="147"/>
      <c r="AF69" s="588"/>
      <c r="AG69" s="588"/>
      <c r="AH69" s="147">
        <v>0.53</v>
      </c>
      <c r="AI69" s="588">
        <v>0.218</v>
      </c>
      <c r="AJ69" s="588">
        <v>0.13200000000000001</v>
      </c>
      <c r="AK69" s="588">
        <v>0.55400000000000005</v>
      </c>
      <c r="AL69" s="588">
        <v>2.4E-2</v>
      </c>
      <c r="AM69" s="588">
        <v>0.89800000000000002</v>
      </c>
      <c r="AS69" s="147" t="s">
        <v>411</v>
      </c>
      <c r="BC69" s="147" t="s">
        <v>411</v>
      </c>
      <c r="BD69" s="62"/>
      <c r="BE69" s="62"/>
      <c r="BG69" s="62"/>
      <c r="BH69" s="14"/>
    </row>
    <row r="70" spans="1:63" ht="15" customHeight="1" x14ac:dyDescent="0.3">
      <c r="A70" s="50">
        <v>67</v>
      </c>
      <c r="B70" s="553">
        <v>7.4999999999999997E-2</v>
      </c>
      <c r="C70" s="553">
        <v>0.34599999999999997</v>
      </c>
      <c r="D70" s="553">
        <v>0.42099999999999999</v>
      </c>
      <c r="E70" s="50"/>
      <c r="F70" s="50"/>
      <c r="G70" s="50"/>
      <c r="H70" s="553">
        <v>1.7999999999999999E-2</v>
      </c>
      <c r="I70" s="553">
        <v>0.41699999999999998</v>
      </c>
      <c r="J70" s="553">
        <v>0.435</v>
      </c>
      <c r="K70" s="588">
        <v>0.19800000000000001</v>
      </c>
      <c r="L70" s="588">
        <f xml:space="preserve"> 39.3%</f>
        <v>0.39299999999999996</v>
      </c>
      <c r="M70" s="588">
        <f xml:space="preserve"> 59.1%</f>
        <v>0.59099999999999997</v>
      </c>
      <c r="N70" s="553">
        <v>0.13800000000000001</v>
      </c>
      <c r="O70" s="553">
        <v>0.65200000000000002</v>
      </c>
      <c r="P70" s="553">
        <v>0.79</v>
      </c>
      <c r="Q70" s="147">
        <v>0.22</v>
      </c>
      <c r="R70" s="520">
        <v>0.11</v>
      </c>
      <c r="S70" s="147">
        <v>0.1</v>
      </c>
      <c r="T70" s="147">
        <v>0.05</v>
      </c>
      <c r="U70" s="147">
        <v>0.03</v>
      </c>
      <c r="V70" s="588"/>
      <c r="W70" s="588"/>
      <c r="X70" s="147"/>
      <c r="Y70" s="588"/>
      <c r="Z70" s="588"/>
      <c r="AA70" s="588"/>
      <c r="AB70" s="588">
        <v>6.0000000000000001E-3</v>
      </c>
      <c r="AC70" s="588">
        <v>0.873</v>
      </c>
      <c r="AD70" s="588"/>
      <c r="AE70" s="147"/>
      <c r="AF70" s="588"/>
      <c r="AG70" s="588"/>
      <c r="AH70" s="147">
        <v>0.53</v>
      </c>
      <c r="AI70" s="588">
        <v>0.216</v>
      </c>
      <c r="AJ70" s="588">
        <v>0.13400000000000001</v>
      </c>
      <c r="AK70" s="588">
        <v>0.55300000000000005</v>
      </c>
      <c r="AL70" s="588">
        <v>2.3E-2</v>
      </c>
      <c r="AM70" s="588">
        <v>0.90100000000000002</v>
      </c>
      <c r="AS70" s="147" t="s">
        <v>853</v>
      </c>
      <c r="AT70" s="585" t="str">
        <f>IF('Upper Extremity-Right'!T400="","",'Upper Extremity-Right'!T400)</f>
        <v/>
      </c>
      <c r="AU70" s="585" t="str">
        <f t="shared" ref="AU70:AU77" si="1">IF(AT70="","",ROUND(AT70,0))</f>
        <v/>
      </c>
      <c r="AV70" s="194">
        <f>IF(AU70="",0,VLOOKUP(AU70,$A$3:$AM$153,26))</f>
        <v>0</v>
      </c>
      <c r="AX70" s="147" t="s">
        <v>466</v>
      </c>
      <c r="AY70" s="585" t="str">
        <f>IF('Upper Extremity-Right'!V400="","",'Upper Extremity-Right'!V400)</f>
        <v/>
      </c>
      <c r="AZ70" s="585" t="str">
        <f>IF(AY70="","",ROUND(AY70,0))</f>
        <v/>
      </c>
      <c r="BA70" s="194">
        <f>IF(AZ70="",0,VLOOKUP(AZ70,$A$3:$AM$153,26))</f>
        <v>0</v>
      </c>
      <c r="BC70" s="147" t="s">
        <v>853</v>
      </c>
      <c r="BD70" s="585" t="str">
        <f>IF('Upper Extremity-Left'!T400="","",'Upper Extremity-Left'!T400)</f>
        <v/>
      </c>
      <c r="BE70" s="585" t="str">
        <f t="shared" ref="BE70:BE77" si="2">IF(BD70="","",ROUND(BD70,0))</f>
        <v/>
      </c>
      <c r="BF70" s="194">
        <f>IF(BE70="",0,VLOOKUP(BE70,$A$3:$AM$153,26))</f>
        <v>0</v>
      </c>
      <c r="BG70" s="62"/>
      <c r="BH70" s="147" t="s">
        <v>466</v>
      </c>
      <c r="BI70" s="585" t="str">
        <f>IF('Upper Extremity-Left'!V400="","",'Upper Extremity-Left'!V400)</f>
        <v/>
      </c>
      <c r="BJ70" s="585" t="str">
        <f>IF(BI70="","",ROUND(BI70,0))</f>
        <v/>
      </c>
      <c r="BK70" s="194">
        <f>IF(BJ70="",0,VLOOKUP(BJ70,$A$3:$AM$153,26))</f>
        <v>0</v>
      </c>
    </row>
    <row r="71" spans="1:63" ht="15" customHeight="1" x14ac:dyDescent="0.3">
      <c r="A71" s="50">
        <v>68</v>
      </c>
      <c r="B71" s="553">
        <v>7.0000000000000007E-2</v>
      </c>
      <c r="C71" s="553">
        <v>0.35399999999999998</v>
      </c>
      <c r="D71" s="553">
        <v>0.42399999999999999</v>
      </c>
      <c r="E71" s="50"/>
      <c r="F71" s="50"/>
      <c r="G71" s="50"/>
      <c r="H71" s="553">
        <v>1.2E-2</v>
      </c>
      <c r="I71" s="553">
        <v>0.42799999999999999</v>
      </c>
      <c r="J71" s="553">
        <v>0.44</v>
      </c>
      <c r="K71" s="588">
        <v>0.192</v>
      </c>
      <c r="L71" s="588">
        <f xml:space="preserve"> 40.2%</f>
        <v>0.40200000000000002</v>
      </c>
      <c r="M71" s="588">
        <f xml:space="preserve"> 59.4%</f>
        <v>0.59399999999999997</v>
      </c>
      <c r="N71" s="553">
        <v>0.13200000000000001</v>
      </c>
      <c r="O71" s="553">
        <v>0.66800000000000004</v>
      </c>
      <c r="P71" s="553">
        <v>0.8</v>
      </c>
      <c r="Q71" s="147">
        <v>0.22</v>
      </c>
      <c r="R71" s="520">
        <v>0.11</v>
      </c>
      <c r="S71" s="147">
        <v>0.1</v>
      </c>
      <c r="T71" s="147">
        <v>0.05</v>
      </c>
      <c r="U71" s="147">
        <v>0.03</v>
      </c>
      <c r="V71" s="588"/>
      <c r="W71" s="588"/>
      <c r="X71" s="147"/>
      <c r="Y71" s="588"/>
      <c r="Z71" s="588"/>
      <c r="AA71" s="588"/>
      <c r="AB71" s="588">
        <v>4.0000000000000001E-3</v>
      </c>
      <c r="AC71" s="588">
        <v>0.88200000000000001</v>
      </c>
      <c r="AD71" s="588"/>
      <c r="AE71" s="147"/>
      <c r="AF71" s="588"/>
      <c r="AG71" s="588"/>
      <c r="AH71" s="147">
        <v>0.54</v>
      </c>
      <c r="AI71" s="588">
        <v>0.214</v>
      </c>
      <c r="AJ71" s="588">
        <v>0.13600000000000001</v>
      </c>
      <c r="AK71" s="588">
        <v>0.55200000000000005</v>
      </c>
      <c r="AL71" s="588">
        <v>2.1999999999999999E-2</v>
      </c>
      <c r="AM71" s="588">
        <v>0.90400000000000003</v>
      </c>
      <c r="AS71" s="147" t="s">
        <v>1205</v>
      </c>
      <c r="AT71" s="585" t="str">
        <f>IF('Upper Extremity-Right'!T401="","",'Upper Extremity-Right'!T401)</f>
        <v/>
      </c>
      <c r="AU71" s="585" t="str">
        <f t="shared" si="1"/>
        <v/>
      </c>
      <c r="AV71" s="194">
        <f>IF(AU71="",0,VLOOKUP(AU71,$A$3:$AM$153,27))</f>
        <v>0</v>
      </c>
      <c r="BC71" s="147" t="s">
        <v>1205</v>
      </c>
      <c r="BD71" s="585" t="str">
        <f>IF('Upper Extremity-Left'!T401="","",'Upper Extremity-Left'!T401)</f>
        <v/>
      </c>
      <c r="BE71" s="585" t="str">
        <f t="shared" si="2"/>
        <v/>
      </c>
      <c r="BF71" s="194">
        <f>IF(BE71="",0,VLOOKUP(BE71,$A$3:$AM$153,27))</f>
        <v>0</v>
      </c>
      <c r="BG71" s="62"/>
      <c r="BH71" s="14"/>
    </row>
    <row r="72" spans="1:63" ht="15" customHeight="1" x14ac:dyDescent="0.3">
      <c r="A72" s="50">
        <v>69</v>
      </c>
      <c r="B72" s="553">
        <v>6.5000000000000002E-2</v>
      </c>
      <c r="C72" s="553">
        <v>0.36199999999999999</v>
      </c>
      <c r="D72" s="553">
        <v>0.42699999999999999</v>
      </c>
      <c r="E72" s="50"/>
      <c r="F72" s="50"/>
      <c r="G72" s="50"/>
      <c r="H72" s="553">
        <v>6.0000000000000001E-3</v>
      </c>
      <c r="I72" s="553">
        <v>0.439</v>
      </c>
      <c r="J72" s="553">
        <v>0.44500000000000001</v>
      </c>
      <c r="K72" s="588">
        <v>0.186</v>
      </c>
      <c r="L72" s="588">
        <f xml:space="preserve"> 41.1%</f>
        <v>0.41100000000000003</v>
      </c>
      <c r="M72" s="588">
        <f xml:space="preserve"> 59.7%</f>
        <v>0.59699999999999998</v>
      </c>
      <c r="N72" s="553">
        <v>0.126</v>
      </c>
      <c r="O72" s="553">
        <v>0.68400000000000005</v>
      </c>
      <c r="P72" s="553">
        <v>0.81</v>
      </c>
      <c r="Q72" s="147">
        <v>0.23</v>
      </c>
      <c r="R72" s="520">
        <v>0.12</v>
      </c>
      <c r="S72" s="147">
        <v>0.11</v>
      </c>
      <c r="T72" s="147">
        <v>0.05</v>
      </c>
      <c r="U72" s="147">
        <v>0.03</v>
      </c>
      <c r="V72" s="588"/>
      <c r="W72" s="588"/>
      <c r="X72" s="147"/>
      <c r="Y72" s="588"/>
      <c r="Z72" s="588"/>
      <c r="AA72" s="588"/>
      <c r="AB72" s="588">
        <v>2E-3</v>
      </c>
      <c r="AC72" s="588">
        <v>0.89100000000000001</v>
      </c>
      <c r="AD72" s="588"/>
      <c r="AE72" s="147"/>
      <c r="AF72" s="588"/>
      <c r="AG72" s="588"/>
      <c r="AH72" s="147">
        <v>0.55000000000000004</v>
      </c>
      <c r="AI72" s="588">
        <v>0.21199999999999999</v>
      </c>
      <c r="AJ72" s="588">
        <v>0.13800000000000001</v>
      </c>
      <c r="AK72" s="588">
        <v>0.55100000000000005</v>
      </c>
      <c r="AL72" s="588">
        <v>2.1000000000000001E-2</v>
      </c>
      <c r="AM72" s="588">
        <v>0.90700000000000003</v>
      </c>
      <c r="AS72" s="147" t="s">
        <v>852</v>
      </c>
      <c r="AT72" s="585" t="str">
        <f>IF('Upper Extremity-Right'!T402="","",'Upper Extremity-Right'!T402)</f>
        <v/>
      </c>
      <c r="AU72" s="585" t="str">
        <f t="shared" si="1"/>
        <v/>
      </c>
      <c r="AV72" s="194">
        <f>IF(AU72="",0,VLOOKUP(AU72,$A$3:$AM$153,28))</f>
        <v>0</v>
      </c>
      <c r="AX72" s="147" t="s">
        <v>1219</v>
      </c>
      <c r="AY72" s="585" t="str">
        <f>IF('Upper Extremity-Right'!V402="","",'Upper Extremity-Right'!V402)</f>
        <v/>
      </c>
      <c r="AZ72" s="585" t="str">
        <f>IF(AY72="","",ROUND(AY72,0))</f>
        <v/>
      </c>
      <c r="BA72" s="194">
        <f>IF(AZ72="",0,VLOOKUP(AZ72,$A$3:$AM$153,28))</f>
        <v>0</v>
      </c>
      <c r="BC72" s="147" t="s">
        <v>852</v>
      </c>
      <c r="BD72" s="585" t="str">
        <f>IF('Upper Extremity-Left'!T402="","",'Upper Extremity-Left'!T402)</f>
        <v/>
      </c>
      <c r="BE72" s="585" t="str">
        <f t="shared" si="2"/>
        <v/>
      </c>
      <c r="BF72" s="194">
        <f>IF(BE72="",0,VLOOKUP(BE72,$A$3:$AM$153,28))</f>
        <v>0</v>
      </c>
      <c r="BG72" s="62"/>
      <c r="BH72" s="147" t="s">
        <v>1219</v>
      </c>
      <c r="BI72" s="585" t="str">
        <f>IF('Upper Extremity-Left'!V402="","",'Upper Extremity-Left'!V402)</f>
        <v/>
      </c>
      <c r="BJ72" s="585" t="str">
        <f>IF(BI72="","",ROUND(BI72,0))</f>
        <v/>
      </c>
      <c r="BK72" s="194">
        <f>IF(BJ72="",0,VLOOKUP(BJ72,$A$3:$AM$153,28))</f>
        <v>0</v>
      </c>
    </row>
    <row r="73" spans="1:63" ht="15" customHeight="1" x14ac:dyDescent="0.3">
      <c r="A73" s="50">
        <v>70</v>
      </c>
      <c r="B73" s="553">
        <v>0.06</v>
      </c>
      <c r="C73" s="553">
        <v>0.37</v>
      </c>
      <c r="D73" s="553">
        <v>0.43</v>
      </c>
      <c r="E73" s="50"/>
      <c r="F73" s="50"/>
      <c r="G73" s="50"/>
      <c r="H73" s="553">
        <v>0</v>
      </c>
      <c r="I73" s="553">
        <v>0.45</v>
      </c>
      <c r="J73" s="553">
        <v>0.45</v>
      </c>
      <c r="K73" s="588">
        <v>0.18</v>
      </c>
      <c r="L73" s="588">
        <f xml:space="preserve"> 42%</f>
        <v>0.42</v>
      </c>
      <c r="M73" s="588">
        <f xml:space="preserve"> 60%</f>
        <v>0.6</v>
      </c>
      <c r="N73" s="553">
        <v>0.12</v>
      </c>
      <c r="O73" s="553">
        <v>0.7</v>
      </c>
      <c r="P73" s="553">
        <v>0.82</v>
      </c>
      <c r="Q73" s="147">
        <v>0.23</v>
      </c>
      <c r="R73" s="520">
        <v>0.12</v>
      </c>
      <c r="S73" s="147">
        <v>0.11</v>
      </c>
      <c r="T73" s="147">
        <v>0.05</v>
      </c>
      <c r="U73" s="147">
        <v>0.03</v>
      </c>
      <c r="V73" s="588"/>
      <c r="W73" s="588"/>
      <c r="X73" s="147"/>
      <c r="Y73" s="588"/>
      <c r="Z73" s="588"/>
      <c r="AA73" s="588"/>
      <c r="AB73" s="588">
        <v>0</v>
      </c>
      <c r="AC73" s="588">
        <v>0.9</v>
      </c>
      <c r="AD73" s="588"/>
      <c r="AE73" s="147"/>
      <c r="AF73" s="588"/>
      <c r="AG73" s="588"/>
      <c r="AH73" s="147">
        <v>0.56000000000000005</v>
      </c>
      <c r="AI73" s="588">
        <v>0.21</v>
      </c>
      <c r="AJ73" s="588">
        <v>0.14000000000000001</v>
      </c>
      <c r="AK73" s="588">
        <v>0.55000000000000004</v>
      </c>
      <c r="AL73" s="588">
        <v>0.02</v>
      </c>
      <c r="AM73" s="588">
        <v>0.91</v>
      </c>
      <c r="AS73" s="147" t="s">
        <v>1203</v>
      </c>
      <c r="AT73" s="585" t="str">
        <f>IF('Upper Extremity-Right'!T403="","",'Upper Extremity-Right'!T403)</f>
        <v/>
      </c>
      <c r="AU73" s="585" t="str">
        <f t="shared" si="1"/>
        <v/>
      </c>
      <c r="AV73" s="194">
        <f>IF(AU73="",0,VLOOKUP(AU73,$A$3:$AM$153,29))</f>
        <v>0</v>
      </c>
      <c r="BC73" s="147" t="s">
        <v>1203</v>
      </c>
      <c r="BD73" s="585" t="str">
        <f>IF('Upper Extremity-Left'!T403="","",'Upper Extremity-Left'!T403)</f>
        <v/>
      </c>
      <c r="BE73" s="585" t="str">
        <f t="shared" si="2"/>
        <v/>
      </c>
      <c r="BF73" s="194">
        <f>IF(BE73="",0,VLOOKUP(BE73,$A$3:$AM$153,29))</f>
        <v>0</v>
      </c>
      <c r="BG73" s="62"/>
      <c r="BH73" s="14"/>
    </row>
    <row r="74" spans="1:63" ht="15" customHeight="1" x14ac:dyDescent="0.3">
      <c r="A74" s="50">
        <v>71</v>
      </c>
      <c r="B74" s="553">
        <v>5.3999999999999999E-2</v>
      </c>
      <c r="C74" s="553">
        <v>0.378</v>
      </c>
      <c r="D74" s="553">
        <v>0.432</v>
      </c>
      <c r="E74" s="50"/>
      <c r="F74" s="50"/>
      <c r="G74" s="50"/>
      <c r="H74" s="50"/>
      <c r="I74" s="50"/>
      <c r="J74" s="50"/>
      <c r="K74" s="588">
        <v>0.17399999999999999</v>
      </c>
      <c r="L74" s="588">
        <f xml:space="preserve"> 42.9%</f>
        <v>0.42899999999999999</v>
      </c>
      <c r="M74" s="588">
        <f xml:space="preserve"> 60.3%</f>
        <v>0.60299999999999998</v>
      </c>
      <c r="N74" s="553">
        <v>0.114</v>
      </c>
      <c r="O74" s="553">
        <v>0.71499999999999997</v>
      </c>
      <c r="P74" s="553">
        <v>0.82899999999999996</v>
      </c>
      <c r="Q74" s="147">
        <v>0.23</v>
      </c>
      <c r="R74" s="520">
        <v>0.12</v>
      </c>
      <c r="S74" s="147">
        <v>0.11</v>
      </c>
      <c r="T74" s="147">
        <v>0.05</v>
      </c>
      <c r="U74" s="147">
        <v>0.03</v>
      </c>
      <c r="V74" s="588"/>
      <c r="W74" s="588"/>
      <c r="X74" s="147"/>
      <c r="Y74" s="588"/>
      <c r="Z74" s="588"/>
      <c r="AA74" s="588"/>
      <c r="AB74" s="588"/>
      <c r="AC74" s="588"/>
      <c r="AD74" s="588"/>
      <c r="AE74" s="147"/>
      <c r="AF74" s="588"/>
      <c r="AG74" s="588"/>
      <c r="AH74" s="147">
        <v>0.56999999999999995</v>
      </c>
      <c r="AI74" s="588">
        <v>0.20699999999999999</v>
      </c>
      <c r="AJ74" s="588">
        <v>0.14199999999999999</v>
      </c>
      <c r="AK74" s="588">
        <v>0.54800000000000004</v>
      </c>
      <c r="AL74" s="588">
        <v>1.7999999999999999E-2</v>
      </c>
      <c r="AM74" s="588">
        <v>0.91400000000000003</v>
      </c>
      <c r="AS74" s="147" t="s">
        <v>909</v>
      </c>
      <c r="AT74" s="585" t="str">
        <f>IF('Upper Extremity-Right'!T404="","",'Upper Extremity-Right'!T404)</f>
        <v/>
      </c>
      <c r="AU74" s="585" t="str">
        <f t="shared" si="1"/>
        <v/>
      </c>
      <c r="AV74" s="194">
        <f>IF(AU74="",0,VLOOKUP(AU74,$A$3:$AM$153,30))</f>
        <v>0</v>
      </c>
      <c r="AX74" s="147" t="s">
        <v>1220</v>
      </c>
      <c r="AY74" s="585" t="str">
        <f>IF('Upper Extremity-Right'!V404="","",'Upper Extremity-Right'!V404)</f>
        <v/>
      </c>
      <c r="AZ74" s="585" t="str">
        <f>IF(AY74="","",ROUND(AY74,0))</f>
        <v/>
      </c>
      <c r="BA74" s="194">
        <f>IF(AZ74="",0,VLOOKUP(AZ74,$A$3:$AM$153,30))</f>
        <v>0</v>
      </c>
      <c r="BC74" s="147" t="s">
        <v>909</v>
      </c>
      <c r="BD74" s="585" t="str">
        <f>IF('Upper Extremity-Left'!T404="","",'Upper Extremity-Left'!T404)</f>
        <v/>
      </c>
      <c r="BE74" s="585" t="str">
        <f t="shared" si="2"/>
        <v/>
      </c>
      <c r="BF74" s="194">
        <f>IF(BE74="",0,VLOOKUP(BE74,$A$3:$AM$153,30))</f>
        <v>0</v>
      </c>
      <c r="BG74" s="62"/>
      <c r="BH74" s="147" t="s">
        <v>1220</v>
      </c>
      <c r="BI74" s="585" t="str">
        <f>IF('Upper Extremity-Left'!V404="","",'Upper Extremity-Left'!V404)</f>
        <v/>
      </c>
      <c r="BJ74" s="585" t="str">
        <f>IF(BI74="","",ROUND(BI74,0))</f>
        <v/>
      </c>
      <c r="BK74" s="194">
        <f>IF(BJ74="",0,VLOOKUP(BJ74,$A$3:$AM$153,30))</f>
        <v>0</v>
      </c>
    </row>
    <row r="75" spans="1:63" ht="15" customHeight="1" x14ac:dyDescent="0.3">
      <c r="A75" s="50">
        <v>72</v>
      </c>
      <c r="B75" s="553">
        <v>4.8000000000000001E-2</v>
      </c>
      <c r="C75" s="553">
        <v>0.38600000000000001</v>
      </c>
      <c r="D75" s="553">
        <v>0.434</v>
      </c>
      <c r="E75" s="50"/>
      <c r="F75" s="50"/>
      <c r="G75" s="50"/>
      <c r="H75" s="50"/>
      <c r="I75" s="50"/>
      <c r="J75" s="50"/>
      <c r="K75" s="588">
        <v>0.16800000000000001</v>
      </c>
      <c r="L75" s="588">
        <f xml:space="preserve"> 43.8%</f>
        <v>0.43799999999999994</v>
      </c>
      <c r="M75" s="588">
        <f xml:space="preserve"> 60.6%</f>
        <v>0.60599999999999998</v>
      </c>
      <c r="N75" s="553">
        <v>0.108</v>
      </c>
      <c r="O75" s="553">
        <v>0.73</v>
      </c>
      <c r="P75" s="553">
        <v>0.83799999999999997</v>
      </c>
      <c r="Q75" s="147">
        <v>0.24</v>
      </c>
      <c r="R75" s="520">
        <v>0.12</v>
      </c>
      <c r="S75" s="147">
        <v>0.11</v>
      </c>
      <c r="T75" s="147">
        <v>0.05</v>
      </c>
      <c r="U75" s="147">
        <v>0.03</v>
      </c>
      <c r="V75" s="588"/>
      <c r="W75" s="588"/>
      <c r="X75" s="147"/>
      <c r="Y75" s="588"/>
      <c r="Z75" s="588"/>
      <c r="AA75" s="588"/>
      <c r="AB75" s="588"/>
      <c r="AC75" s="588"/>
      <c r="AD75" s="588"/>
      <c r="AE75" s="147"/>
      <c r="AF75" s="588"/>
      <c r="AG75" s="588"/>
      <c r="AH75" s="147">
        <v>0.56999999999999995</v>
      </c>
      <c r="AI75" s="588">
        <v>0.20399999999999999</v>
      </c>
      <c r="AJ75" s="588">
        <v>0.14399999999999999</v>
      </c>
      <c r="AK75" s="588">
        <v>0.54600000000000004</v>
      </c>
      <c r="AL75" s="588">
        <v>1.6E-2</v>
      </c>
      <c r="AM75" s="588">
        <v>0.91800000000000004</v>
      </c>
      <c r="AS75" s="147" t="s">
        <v>910</v>
      </c>
      <c r="AT75" s="585" t="str">
        <f>IF('Upper Extremity-Right'!T405="","",'Upper Extremity-Right'!T405)</f>
        <v/>
      </c>
      <c r="AU75" s="585" t="str">
        <f t="shared" si="1"/>
        <v/>
      </c>
      <c r="AV75" s="194">
        <f>IF(AU75="",0,VLOOKUP(AU75,$A$3:$AM$153,31))</f>
        <v>0</v>
      </c>
      <c r="BC75" s="147" t="s">
        <v>910</v>
      </c>
      <c r="BD75" s="585" t="str">
        <f>IF('Upper Extremity-Left'!T405="","",'Upper Extremity-Left'!T405)</f>
        <v/>
      </c>
      <c r="BE75" s="585" t="str">
        <f t="shared" si="2"/>
        <v/>
      </c>
      <c r="BF75" s="194">
        <f>IF(BE75="",0,VLOOKUP(BE75,$A$3:$AM$153,31))</f>
        <v>0</v>
      </c>
      <c r="BG75" s="62"/>
      <c r="BH75" s="14"/>
    </row>
    <row r="76" spans="1:63" ht="15" customHeight="1" x14ac:dyDescent="0.3">
      <c r="A76" s="50">
        <v>73</v>
      </c>
      <c r="B76" s="553">
        <v>4.2000000000000003E-2</v>
      </c>
      <c r="C76" s="553">
        <v>0.39400000000000002</v>
      </c>
      <c r="D76" s="553">
        <v>0.436</v>
      </c>
      <c r="E76" s="50"/>
      <c r="F76" s="50"/>
      <c r="G76" s="50"/>
      <c r="H76" s="50"/>
      <c r="I76" s="50"/>
      <c r="J76" s="50"/>
      <c r="K76" s="588">
        <v>0.16200000000000001</v>
      </c>
      <c r="L76" s="588">
        <f xml:space="preserve"> 44.7%</f>
        <v>0.44700000000000001</v>
      </c>
      <c r="M76" s="588">
        <f xml:space="preserve"> 60.9%</f>
        <v>0.60899999999999999</v>
      </c>
      <c r="N76" s="553">
        <v>0.10199999999999999</v>
      </c>
      <c r="O76" s="553">
        <v>0.745</v>
      </c>
      <c r="P76" s="553">
        <v>0.84699999999999998</v>
      </c>
      <c r="Q76" s="147">
        <v>0.24</v>
      </c>
      <c r="R76" s="520">
        <v>0.12</v>
      </c>
      <c r="S76" s="147">
        <v>0.11</v>
      </c>
      <c r="T76" s="147">
        <v>0.05</v>
      </c>
      <c r="U76" s="147">
        <v>0.03</v>
      </c>
      <c r="V76" s="588"/>
      <c r="W76" s="588"/>
      <c r="X76" s="147"/>
      <c r="Y76" s="588"/>
      <c r="Z76" s="588"/>
      <c r="AA76" s="588"/>
      <c r="AB76" s="588"/>
      <c r="AC76" s="588"/>
      <c r="AD76" s="588"/>
      <c r="AE76" s="147"/>
      <c r="AF76" s="588"/>
      <c r="AG76" s="588"/>
      <c r="AH76" s="147">
        <v>0.57999999999999996</v>
      </c>
      <c r="AI76" s="588">
        <v>0.20100000000000001</v>
      </c>
      <c r="AJ76" s="588">
        <v>0.14599999999999999</v>
      </c>
      <c r="AK76" s="588">
        <v>0.54400000000000004</v>
      </c>
      <c r="AL76" s="588">
        <v>1.4E-2</v>
      </c>
      <c r="AM76" s="588">
        <v>0.92200000000000004</v>
      </c>
      <c r="AS76" s="147" t="s">
        <v>911</v>
      </c>
      <c r="AT76" s="585" t="str">
        <f>IF('Upper Extremity-Right'!T406="","",'Upper Extremity-Right'!T406)</f>
        <v/>
      </c>
      <c r="AU76" s="585" t="str">
        <f t="shared" si="1"/>
        <v/>
      </c>
      <c r="AV76" s="194">
        <f>IF(AU76="",0,VLOOKUP(AU76,$A$3:$AM$153,32))</f>
        <v>0</v>
      </c>
      <c r="AX76" s="147" t="s">
        <v>1221</v>
      </c>
      <c r="AY76" s="585" t="str">
        <f>IF('Upper Extremity-Right'!V406="","",'Upper Extremity-Right'!V406)</f>
        <v/>
      </c>
      <c r="AZ76" s="585" t="str">
        <f>IF(AY76="","",ROUND(AY76,0))</f>
        <v/>
      </c>
      <c r="BA76" s="194">
        <f>IF(AZ76="",0,VLOOKUP(AZ76,$A$3:$AM$153,32))</f>
        <v>0</v>
      </c>
      <c r="BC76" s="147" t="s">
        <v>911</v>
      </c>
      <c r="BD76" s="585" t="str">
        <f>IF('Upper Extremity-Left'!T406="","",'Upper Extremity-Left'!T406)</f>
        <v/>
      </c>
      <c r="BE76" s="585" t="str">
        <f t="shared" si="2"/>
        <v/>
      </c>
      <c r="BF76" s="194">
        <f>IF(BE76="",0,VLOOKUP(BE76,$A$3:$AM$153,32))</f>
        <v>0</v>
      </c>
      <c r="BG76" s="62"/>
      <c r="BH76" s="147" t="s">
        <v>1221</v>
      </c>
      <c r="BI76" s="585" t="str">
        <f>IF('Upper Extremity-Left'!V406="","",'Upper Extremity-Left'!V406)</f>
        <v/>
      </c>
      <c r="BJ76" s="585" t="str">
        <f>IF(BI76="","",ROUND(BI76,0))</f>
        <v/>
      </c>
      <c r="BK76" s="194">
        <f>IF(BJ76="",0,VLOOKUP(BJ76,$A$3:$AM$153,32))</f>
        <v>0</v>
      </c>
    </row>
    <row r="77" spans="1:63" ht="15" customHeight="1" x14ac:dyDescent="0.3">
      <c r="A77" s="50">
        <v>74</v>
      </c>
      <c r="B77" s="553">
        <v>3.5999999999999997E-2</v>
      </c>
      <c r="C77" s="553">
        <v>0.40200000000000002</v>
      </c>
      <c r="D77" s="553">
        <v>0.438</v>
      </c>
      <c r="E77" s="50"/>
      <c r="F77" s="50"/>
      <c r="G77" s="50"/>
      <c r="H77" s="50"/>
      <c r="I77" s="50"/>
      <c r="J77" s="50"/>
      <c r="K77" s="588">
        <v>0.156</v>
      </c>
      <c r="L77" s="588">
        <f xml:space="preserve"> 45.6%</f>
        <v>0.45600000000000002</v>
      </c>
      <c r="M77" s="588">
        <f xml:space="preserve"> 61.2%</f>
        <v>0.61199999999999999</v>
      </c>
      <c r="N77" s="553">
        <v>9.6000000000000002E-2</v>
      </c>
      <c r="O77" s="553">
        <v>0.76</v>
      </c>
      <c r="P77" s="553">
        <v>0.85599999999999998</v>
      </c>
      <c r="Q77" s="147">
        <v>0.24</v>
      </c>
      <c r="R77" s="520">
        <v>0.12</v>
      </c>
      <c r="S77" s="147">
        <v>0.11</v>
      </c>
      <c r="T77" s="147">
        <v>0.05</v>
      </c>
      <c r="U77" s="147">
        <v>0.03</v>
      </c>
      <c r="V77" s="588"/>
      <c r="W77" s="588"/>
      <c r="X77" s="147"/>
      <c r="Y77" s="588"/>
      <c r="Z77" s="588"/>
      <c r="AA77" s="588"/>
      <c r="AB77" s="588"/>
      <c r="AC77" s="588"/>
      <c r="AD77" s="588"/>
      <c r="AE77" s="147"/>
      <c r="AF77" s="588"/>
      <c r="AG77" s="588"/>
      <c r="AH77" s="147">
        <v>0.59</v>
      </c>
      <c r="AI77" s="588">
        <v>0.19800000000000001</v>
      </c>
      <c r="AJ77" s="588">
        <v>0.14799999999999999</v>
      </c>
      <c r="AK77" s="588">
        <v>0.54200000000000004</v>
      </c>
      <c r="AL77" s="588">
        <v>1.2E-2</v>
      </c>
      <c r="AM77" s="588">
        <v>0.92600000000000005</v>
      </c>
      <c r="AS77" s="147" t="s">
        <v>912</v>
      </c>
      <c r="AT77" s="585" t="str">
        <f>IF('Upper Extremity-Right'!T407="","",'Upper Extremity-Right'!T407)</f>
        <v/>
      </c>
      <c r="AU77" s="585" t="str">
        <f t="shared" si="1"/>
        <v/>
      </c>
      <c r="AV77" s="194">
        <f>IF(AU77="",0,VLOOKUP(AU77,$A$3:$AM$153,33))</f>
        <v>0</v>
      </c>
      <c r="BC77" s="147" t="s">
        <v>912</v>
      </c>
      <c r="BD77" s="585" t="str">
        <f>IF('Upper Extremity-Left'!T407="","",'Upper Extremity-Left'!T407)</f>
        <v/>
      </c>
      <c r="BE77" s="585" t="str">
        <f t="shared" si="2"/>
        <v/>
      </c>
      <c r="BF77" s="194">
        <f>IF(BE77="",0,VLOOKUP(BE77,$A$3:$AM$153,33))</f>
        <v>0</v>
      </c>
      <c r="BG77" s="62"/>
      <c r="BH77" s="14"/>
    </row>
    <row r="78" spans="1:63" ht="15" customHeight="1" x14ac:dyDescent="0.3">
      <c r="A78" s="50">
        <v>75</v>
      </c>
      <c r="B78" s="553">
        <v>0.03</v>
      </c>
      <c r="C78" s="553">
        <v>0.41</v>
      </c>
      <c r="D78" s="553">
        <v>0.44</v>
      </c>
      <c r="E78" s="50"/>
      <c r="F78" s="50"/>
      <c r="G78" s="50"/>
      <c r="H78" s="50"/>
      <c r="I78" s="50"/>
      <c r="J78" s="50"/>
      <c r="K78" s="588">
        <v>0.15</v>
      </c>
      <c r="L78" s="588">
        <f xml:space="preserve"> 46.5%</f>
        <v>0.46500000000000002</v>
      </c>
      <c r="M78" s="588">
        <f xml:space="preserve"> 61.5%</f>
        <v>0.61499999999999999</v>
      </c>
      <c r="N78" s="553">
        <v>0.09</v>
      </c>
      <c r="O78" s="553">
        <v>0.77500000000000002</v>
      </c>
      <c r="P78" s="553">
        <v>0.86499999999999999</v>
      </c>
      <c r="Q78" s="147">
        <v>0.24</v>
      </c>
      <c r="R78" s="520">
        <v>0.12</v>
      </c>
      <c r="S78" s="147">
        <v>0.11</v>
      </c>
      <c r="T78" s="147">
        <v>0.06</v>
      </c>
      <c r="U78" s="147">
        <v>0.03</v>
      </c>
      <c r="V78" s="588"/>
      <c r="W78" s="588"/>
      <c r="X78" s="147"/>
      <c r="Y78" s="588"/>
      <c r="Z78" s="588"/>
      <c r="AA78" s="588"/>
      <c r="AB78" s="588"/>
      <c r="AC78" s="588"/>
      <c r="AD78" s="588"/>
      <c r="AE78" s="147"/>
      <c r="AF78" s="588"/>
      <c r="AG78" s="588"/>
      <c r="AH78" s="147">
        <v>0.6</v>
      </c>
      <c r="AI78" s="588">
        <v>0.19500000000000001</v>
      </c>
      <c r="AJ78" s="588">
        <f xml:space="preserve"> 15%</f>
        <v>0.15</v>
      </c>
      <c r="AK78" s="588">
        <v>0.54</v>
      </c>
      <c r="AL78" s="588">
        <v>0.01</v>
      </c>
      <c r="AM78" s="588">
        <v>0.93</v>
      </c>
      <c r="BC78" s="147"/>
      <c r="BD78" s="62"/>
      <c r="BE78" s="62"/>
      <c r="BG78" s="62"/>
      <c r="BH78" s="14"/>
    </row>
    <row r="79" spans="1:63" ht="15" customHeight="1" x14ac:dyDescent="0.3">
      <c r="A79" s="50">
        <v>76</v>
      </c>
      <c r="B79" s="553">
        <v>2.4E-2</v>
      </c>
      <c r="C79" s="553">
        <v>0.41799999999999998</v>
      </c>
      <c r="D79" s="553">
        <v>0.442</v>
      </c>
      <c r="E79" s="50"/>
      <c r="F79" s="50"/>
      <c r="G79" s="50"/>
      <c r="H79" s="50"/>
      <c r="I79" s="50"/>
      <c r="J79" s="50"/>
      <c r="K79" s="588">
        <f xml:space="preserve"> 14.4%</f>
        <v>0.14400000000000002</v>
      </c>
      <c r="L79" s="588">
        <f xml:space="preserve"> 47.4%</f>
        <v>0.47399999999999998</v>
      </c>
      <c r="M79" s="588">
        <f xml:space="preserve"> 61.8%</f>
        <v>0.61799999999999999</v>
      </c>
      <c r="N79" s="553">
        <v>8.4000000000000005E-2</v>
      </c>
      <c r="O79" s="553">
        <v>0.79</v>
      </c>
      <c r="P79" s="553">
        <v>0.874</v>
      </c>
      <c r="Q79" s="147">
        <v>0.25</v>
      </c>
      <c r="R79" s="520">
        <v>0.13</v>
      </c>
      <c r="S79" s="147">
        <v>0.12</v>
      </c>
      <c r="T79" s="147">
        <v>0.06</v>
      </c>
      <c r="U79" s="147">
        <v>0.04</v>
      </c>
      <c r="V79" s="588"/>
      <c r="W79" s="588"/>
      <c r="X79" s="147"/>
      <c r="Y79" s="588"/>
      <c r="Z79" s="588"/>
      <c r="AA79" s="588"/>
      <c r="AB79" s="588"/>
      <c r="AC79" s="588"/>
      <c r="AD79" s="588"/>
      <c r="AE79" s="147"/>
      <c r="AF79" s="588"/>
      <c r="AG79" s="588"/>
      <c r="AH79" s="147">
        <v>0.61</v>
      </c>
      <c r="AI79" s="588">
        <v>0.192</v>
      </c>
      <c r="AJ79" s="588">
        <f xml:space="preserve"> 15.2%</f>
        <v>0.152</v>
      </c>
      <c r="AK79" s="588">
        <f xml:space="preserve"> 53.8%</f>
        <v>0.53799999999999992</v>
      </c>
      <c r="AL79" s="588">
        <v>8.0000000000000002E-3</v>
      </c>
      <c r="AM79" s="588">
        <v>0.93400000000000005</v>
      </c>
      <c r="AS79" s="147" t="s">
        <v>412</v>
      </c>
      <c r="BC79" s="147" t="s">
        <v>412</v>
      </c>
      <c r="BD79" s="62"/>
      <c r="BE79" s="62"/>
      <c r="BG79" s="62"/>
      <c r="BH79" s="14"/>
    </row>
    <row r="80" spans="1:63" ht="15" customHeight="1" x14ac:dyDescent="0.3">
      <c r="A80" s="50">
        <v>77</v>
      </c>
      <c r="B80" s="553">
        <v>1.7999999999999999E-2</v>
      </c>
      <c r="C80" s="553">
        <v>0.42599999999999999</v>
      </c>
      <c r="D80" s="553">
        <v>0.44400000000000001</v>
      </c>
      <c r="E80" s="50"/>
      <c r="F80" s="50"/>
      <c r="G80" s="50"/>
      <c r="H80" s="50"/>
      <c r="I80" s="50"/>
      <c r="J80" s="50"/>
      <c r="K80" s="588">
        <f xml:space="preserve"> 13.8%</f>
        <v>0.13800000000000001</v>
      </c>
      <c r="L80" s="588">
        <f xml:space="preserve"> 48.3%</f>
        <v>0.48299999999999998</v>
      </c>
      <c r="M80" s="588">
        <f xml:space="preserve"> 62.1%</f>
        <v>0.621</v>
      </c>
      <c r="N80" s="553">
        <v>7.8E-2</v>
      </c>
      <c r="O80" s="553">
        <v>0.80500000000000005</v>
      </c>
      <c r="P80" s="553">
        <v>0.88300000000000001</v>
      </c>
      <c r="Q80" s="147">
        <v>0.25</v>
      </c>
      <c r="R80" s="520">
        <v>0.13</v>
      </c>
      <c r="S80" s="147">
        <v>0.12</v>
      </c>
      <c r="T80" s="147">
        <v>0.06</v>
      </c>
      <c r="U80" s="147">
        <v>0.04</v>
      </c>
      <c r="V80" s="588"/>
      <c r="W80" s="588"/>
      <c r="X80" s="147"/>
      <c r="Y80" s="588"/>
      <c r="Z80" s="588"/>
      <c r="AA80" s="588"/>
      <c r="AB80" s="588"/>
      <c r="AC80" s="588"/>
      <c r="AD80" s="588"/>
      <c r="AE80" s="147"/>
      <c r="AF80" s="588"/>
      <c r="AG80" s="588"/>
      <c r="AH80" s="147">
        <v>0.61</v>
      </c>
      <c r="AI80" s="588">
        <v>0.189</v>
      </c>
      <c r="AJ80" s="588">
        <f xml:space="preserve"> 15.4%</f>
        <v>0.154</v>
      </c>
      <c r="AK80" s="588">
        <f xml:space="preserve"> 53.6%</f>
        <v>0.53600000000000003</v>
      </c>
      <c r="AL80" s="588">
        <v>6.0000000000000001E-3</v>
      </c>
      <c r="AM80" s="588">
        <v>0.93799999999999994</v>
      </c>
      <c r="AS80" s="684" t="s">
        <v>1222</v>
      </c>
      <c r="AT80" s="585" t="str">
        <f>IF('Upper Extremity-Right'!T562="","",'Upper Extremity-Right'!T562)</f>
        <v/>
      </c>
      <c r="AU80" s="585" t="str">
        <f t="shared" ref="AU80:AU87" si="3">IF(AT80="","",ROUND(AT80,0))</f>
        <v/>
      </c>
      <c r="AV80" s="194">
        <f>IF(AU80="",0,VLOOKUP(AU80,$A$3:$AM$153,35))</f>
        <v>0</v>
      </c>
      <c r="AX80" s="147" t="s">
        <v>1219</v>
      </c>
      <c r="AY80" s="585" t="str">
        <f>IF('Upper Extremity-Right'!V562="","",'Upper Extremity-Right'!V562)</f>
        <v/>
      </c>
      <c r="AZ80" s="585" t="str">
        <f>IF(AY80="","",ROUND(AY80,0))</f>
        <v/>
      </c>
      <c r="BA80" s="194">
        <f>IF(AZ80="",0,VLOOKUP(AZ80,$A$3:$AM$153,35))</f>
        <v>0</v>
      </c>
      <c r="BC80" s="684" t="s">
        <v>1222</v>
      </c>
      <c r="BD80" s="585" t="str">
        <f>IF('Upper Extremity-Left'!T562="","",'Upper Extremity-Left'!T562)</f>
        <v/>
      </c>
      <c r="BE80" s="585" t="str">
        <f t="shared" ref="BE80:BE87" si="4">IF(BD80="","",ROUND(BD80,0))</f>
        <v/>
      </c>
      <c r="BF80" s="194">
        <f>IF(BE80="",0,VLOOKUP(BE80,$A$3:$AM$153,35))</f>
        <v>0</v>
      </c>
      <c r="BG80" s="62"/>
      <c r="BH80" s="147" t="s">
        <v>1219</v>
      </c>
      <c r="BI80" s="585" t="str">
        <f>IF('Upper Extremity-Left'!V562="","",'Upper Extremity-Left'!V562)</f>
        <v/>
      </c>
      <c r="BJ80" s="585" t="str">
        <f>IF(BI80="","",ROUND(BI80,0))</f>
        <v/>
      </c>
      <c r="BK80" s="194">
        <f>IF(BJ80="",0,VLOOKUP(BJ80,$A$3:$AM$153,35))</f>
        <v>0</v>
      </c>
    </row>
    <row r="81" spans="1:63" ht="15" customHeight="1" x14ac:dyDescent="0.3">
      <c r="A81" s="50">
        <v>78</v>
      </c>
      <c r="B81" s="553">
        <v>1.2E-2</v>
      </c>
      <c r="C81" s="553">
        <v>0.434</v>
      </c>
      <c r="D81" s="553">
        <v>0.44600000000000001</v>
      </c>
      <c r="E81" s="50"/>
      <c r="F81" s="50"/>
      <c r="G81" s="50"/>
      <c r="H81" s="50"/>
      <c r="I81" s="50"/>
      <c r="J81" s="50"/>
      <c r="K81" s="588">
        <f xml:space="preserve"> 13.2%</f>
        <v>0.13200000000000001</v>
      </c>
      <c r="L81" s="588">
        <f xml:space="preserve"> 49.2%</f>
        <v>0.49200000000000005</v>
      </c>
      <c r="M81" s="588">
        <f xml:space="preserve"> 62.4%</f>
        <v>0.624</v>
      </c>
      <c r="N81" s="553">
        <v>7.1999999999999995E-2</v>
      </c>
      <c r="O81" s="553">
        <v>0.82</v>
      </c>
      <c r="P81" s="553">
        <v>0.89200000000000002</v>
      </c>
      <c r="Q81" s="147">
        <v>0.25</v>
      </c>
      <c r="R81" s="520">
        <v>0.13</v>
      </c>
      <c r="S81" s="147">
        <v>0.12</v>
      </c>
      <c r="T81" s="147">
        <v>0.06</v>
      </c>
      <c r="U81" s="147">
        <v>0.04</v>
      </c>
      <c r="V81" s="588"/>
      <c r="W81" s="588"/>
      <c r="X81" s="147"/>
      <c r="Y81" s="588"/>
      <c r="Z81" s="588"/>
      <c r="AA81" s="588"/>
      <c r="AB81" s="588"/>
      <c r="AC81" s="588"/>
      <c r="AD81" s="588"/>
      <c r="AE81" s="147"/>
      <c r="AF81" s="588"/>
      <c r="AG81" s="588"/>
      <c r="AH81" s="147">
        <v>0.62</v>
      </c>
      <c r="AI81" s="588">
        <v>0.186</v>
      </c>
      <c r="AJ81" s="588">
        <f xml:space="preserve"> 15.6%</f>
        <v>0.156</v>
      </c>
      <c r="AK81" s="588">
        <f xml:space="preserve"> 53.4%</f>
        <v>0.53400000000000003</v>
      </c>
      <c r="AL81" s="588">
        <v>4.0000000000000001E-3</v>
      </c>
      <c r="AM81" s="588">
        <v>0.94199999999999995</v>
      </c>
      <c r="AS81" s="684" t="s">
        <v>1203</v>
      </c>
      <c r="AT81" s="585" t="str">
        <f>IF('Upper Extremity-Right'!T563="","",'Upper Extremity-Right'!T563)</f>
        <v/>
      </c>
      <c r="AU81" s="585" t="str">
        <f t="shared" si="3"/>
        <v/>
      </c>
      <c r="AV81" s="194">
        <f>IF(AU81="",0,VLOOKUP(AU81,$A$3:$AM$153,37))</f>
        <v>0</v>
      </c>
      <c r="BC81" s="684" t="s">
        <v>1203</v>
      </c>
      <c r="BD81" s="585" t="str">
        <f>IF('Upper Extremity-Left'!T563="","",'Upper Extremity-Left'!T563)</f>
        <v/>
      </c>
      <c r="BE81" s="585" t="str">
        <f t="shared" si="4"/>
        <v/>
      </c>
      <c r="BF81" s="194">
        <f>IF(BE81="",0,VLOOKUP(BE81,$A$3:$AM$153,37))</f>
        <v>0</v>
      </c>
      <c r="BG81" s="62"/>
      <c r="BH81" s="14"/>
    </row>
    <row r="82" spans="1:63" ht="15" customHeight="1" x14ac:dyDescent="0.3">
      <c r="A82" s="50">
        <v>79</v>
      </c>
      <c r="B82" s="553">
        <v>6.0000000000000001E-3</v>
      </c>
      <c r="C82" s="553">
        <v>0.442</v>
      </c>
      <c r="D82" s="553">
        <v>0.44800000000000001</v>
      </c>
      <c r="E82" s="50"/>
      <c r="F82" s="50"/>
      <c r="G82" s="50"/>
      <c r="H82" s="50"/>
      <c r="I82" s="50"/>
      <c r="J82" s="50"/>
      <c r="K82" s="588">
        <f xml:space="preserve"> 12.6%</f>
        <v>0.126</v>
      </c>
      <c r="L82" s="588">
        <f xml:space="preserve"> 50.1%</f>
        <v>0.501</v>
      </c>
      <c r="M82" s="588">
        <f xml:space="preserve"> 62.7%</f>
        <v>0.627</v>
      </c>
      <c r="N82" s="553">
        <v>6.6000000000000003E-2</v>
      </c>
      <c r="O82" s="553">
        <v>0.83499999999999996</v>
      </c>
      <c r="P82" s="553">
        <v>0.90100000000000002</v>
      </c>
      <c r="Q82" s="147">
        <v>0.26</v>
      </c>
      <c r="R82" s="520">
        <v>0.13</v>
      </c>
      <c r="S82" s="147">
        <v>0.12</v>
      </c>
      <c r="T82" s="147">
        <v>0.06</v>
      </c>
      <c r="U82" s="147">
        <v>0.04</v>
      </c>
      <c r="V82" s="588"/>
      <c r="W82" s="588"/>
      <c r="X82" s="147"/>
      <c r="Y82" s="588"/>
      <c r="Z82" s="588"/>
      <c r="AA82" s="588"/>
      <c r="AB82" s="588"/>
      <c r="AC82" s="588"/>
      <c r="AD82" s="588"/>
      <c r="AE82" s="147"/>
      <c r="AF82" s="588"/>
      <c r="AG82" s="588"/>
      <c r="AH82" s="147">
        <v>0.63</v>
      </c>
      <c r="AI82" s="588">
        <v>0.183</v>
      </c>
      <c r="AJ82" s="588">
        <f xml:space="preserve"> 15.8%</f>
        <v>0.158</v>
      </c>
      <c r="AK82" s="588">
        <f xml:space="preserve"> 53.2%</f>
        <v>0.53200000000000003</v>
      </c>
      <c r="AL82" s="588">
        <v>2E-3</v>
      </c>
      <c r="AM82" s="588">
        <v>0.94599999999999995</v>
      </c>
      <c r="AS82" s="684" t="s">
        <v>1223</v>
      </c>
      <c r="AT82" s="585" t="str">
        <f>IF('Upper Extremity-Right'!T564="","",'Upper Extremity-Right'!T564)</f>
        <v/>
      </c>
      <c r="AU82" s="585" t="str">
        <f t="shared" si="3"/>
        <v/>
      </c>
      <c r="AV82" s="194">
        <f>IF(AU82="",0,VLOOKUP(AU82,$A$3:$AM$153,36))</f>
        <v>0</v>
      </c>
      <c r="AX82" s="147" t="s">
        <v>466</v>
      </c>
      <c r="AY82" s="585" t="str">
        <f>IF('Upper Extremity-Right'!V564="","",'Upper Extremity-Right'!V564)</f>
        <v/>
      </c>
      <c r="AZ82" s="585" t="str">
        <f>IF(AY82="","",ROUND(AY82,0))</f>
        <v/>
      </c>
      <c r="BA82" s="194">
        <f>IF(AZ82="",0,VLOOKUP(AZ82,$A$3:$AM$153,36))</f>
        <v>0</v>
      </c>
      <c r="BC82" s="684" t="s">
        <v>1223</v>
      </c>
      <c r="BD82" s="585" t="str">
        <f>IF('Upper Extremity-Left'!T564="","",'Upper Extremity-Left'!T564)</f>
        <v/>
      </c>
      <c r="BE82" s="585" t="str">
        <f t="shared" si="4"/>
        <v/>
      </c>
      <c r="BF82" s="194">
        <f>IF(BE82="",0,VLOOKUP(BE82,$A$3:$AM$153,36))</f>
        <v>0</v>
      </c>
      <c r="BG82" s="62"/>
      <c r="BH82" s="147" t="s">
        <v>466</v>
      </c>
      <c r="BI82" s="585" t="str">
        <f>IF('Upper Extremity-Left'!V564="","",'Upper Extremity-Left'!V564)</f>
        <v/>
      </c>
      <c r="BJ82" s="585" t="str">
        <f>IF(BI82="","",ROUND(BI82,0))</f>
        <v/>
      </c>
      <c r="BK82" s="194">
        <f>IF(BJ82="",0,VLOOKUP(BJ82,$A$3:$AM$153,36))</f>
        <v>0</v>
      </c>
    </row>
    <row r="83" spans="1:63" ht="15" customHeight="1" x14ac:dyDescent="0.3">
      <c r="A83" s="50">
        <v>80</v>
      </c>
      <c r="B83" s="553">
        <v>0</v>
      </c>
      <c r="C83" s="553">
        <v>0.45</v>
      </c>
      <c r="D83" s="553">
        <v>0.45</v>
      </c>
      <c r="E83" s="50"/>
      <c r="F83" s="50"/>
      <c r="G83" s="50"/>
      <c r="H83" s="50"/>
      <c r="I83" s="50"/>
      <c r="J83" s="50"/>
      <c r="K83" s="588">
        <f xml:space="preserve"> 12%</f>
        <v>0.12</v>
      </c>
      <c r="L83" s="588">
        <f xml:space="preserve"> 51%</f>
        <v>0.51</v>
      </c>
      <c r="M83" s="588">
        <f xml:space="preserve"> 63%</f>
        <v>0.63</v>
      </c>
      <c r="N83" s="553">
        <v>0.06</v>
      </c>
      <c r="O83" s="553">
        <v>0.85</v>
      </c>
      <c r="P83" s="553">
        <v>0.91</v>
      </c>
      <c r="Q83" s="147">
        <v>0.26</v>
      </c>
      <c r="R83" s="520">
        <v>0.13</v>
      </c>
      <c r="S83" s="147">
        <v>0.12</v>
      </c>
      <c r="T83" s="147">
        <v>0.06</v>
      </c>
      <c r="U83" s="147">
        <v>0.04</v>
      </c>
      <c r="V83" s="588"/>
      <c r="W83" s="588"/>
      <c r="X83" s="147"/>
      <c r="Y83" s="588"/>
      <c r="Z83" s="588"/>
      <c r="AA83" s="588"/>
      <c r="AB83" s="588"/>
      <c r="AC83" s="588"/>
      <c r="AD83" s="588"/>
      <c r="AE83" s="147"/>
      <c r="AF83" s="588"/>
      <c r="AG83" s="588"/>
      <c r="AH83" s="147">
        <v>0.64</v>
      </c>
      <c r="AI83" s="588">
        <v>0.18</v>
      </c>
      <c r="AJ83" s="588">
        <f xml:space="preserve"> 16%</f>
        <v>0.16</v>
      </c>
      <c r="AK83" s="588">
        <f xml:space="preserve"> 53%</f>
        <v>0.53</v>
      </c>
      <c r="AL83" s="588">
        <v>0</v>
      </c>
      <c r="AM83" s="588">
        <v>0.95</v>
      </c>
      <c r="AS83" s="684" t="s">
        <v>1205</v>
      </c>
      <c r="AT83" s="585" t="str">
        <f>IF('Upper Extremity-Right'!T565="","",'Upper Extremity-Right'!T565)</f>
        <v/>
      </c>
      <c r="AU83" s="585" t="str">
        <f t="shared" si="3"/>
        <v/>
      </c>
      <c r="AV83" s="194">
        <f>IF(AU83="",0,VLOOKUP(AU83,$A$3:$AM$153,37))</f>
        <v>0</v>
      </c>
      <c r="BC83" s="684" t="s">
        <v>1205</v>
      </c>
      <c r="BD83" s="585" t="str">
        <f>IF('Upper Extremity-Left'!T565="","",'Upper Extremity-Left'!T565)</f>
        <v/>
      </c>
      <c r="BE83" s="585" t="str">
        <f t="shared" si="4"/>
        <v/>
      </c>
      <c r="BF83" s="194">
        <f>IF(BE83="",0,VLOOKUP(BE83,$A$3:$AM$153,37))</f>
        <v>0</v>
      </c>
      <c r="BG83" s="62"/>
      <c r="BH83" s="14"/>
    </row>
    <row r="84" spans="1:63" ht="15" customHeight="1" x14ac:dyDescent="0.3">
      <c r="A84" s="50">
        <v>81</v>
      </c>
      <c r="B84" s="50"/>
      <c r="C84" s="50"/>
      <c r="D84" s="50"/>
      <c r="E84" s="50"/>
      <c r="F84" s="50"/>
      <c r="G84" s="50"/>
      <c r="H84" s="50"/>
      <c r="I84" s="50"/>
      <c r="J84" s="50"/>
      <c r="K84" s="588">
        <f xml:space="preserve"> 11.4%</f>
        <v>0.114</v>
      </c>
      <c r="L84" s="588">
        <f xml:space="preserve"> 52%</f>
        <v>0.52</v>
      </c>
      <c r="M84" s="588">
        <f xml:space="preserve"> 63.4%</f>
        <v>0.63400000000000001</v>
      </c>
      <c r="N84" s="553">
        <v>5.3999999999999999E-2</v>
      </c>
      <c r="O84" s="553">
        <v>0.86499999999999999</v>
      </c>
      <c r="P84" s="553">
        <v>0.91900000000000004</v>
      </c>
      <c r="Q84" s="147">
        <v>0.26</v>
      </c>
      <c r="R84" s="520">
        <v>0.13</v>
      </c>
      <c r="S84" s="147">
        <v>0.12</v>
      </c>
      <c r="T84" s="147">
        <v>0.06</v>
      </c>
      <c r="U84" s="147">
        <v>0.04</v>
      </c>
      <c r="V84" s="588"/>
      <c r="W84" s="588"/>
      <c r="X84" s="147"/>
      <c r="Y84" s="588"/>
      <c r="Z84" s="588"/>
      <c r="AA84" s="588"/>
      <c r="AB84" s="588"/>
      <c r="AC84" s="588"/>
      <c r="AD84" s="588"/>
      <c r="AE84" s="147"/>
      <c r="AF84" s="588"/>
      <c r="AG84" s="588"/>
      <c r="AH84" s="147">
        <v>0.64</v>
      </c>
      <c r="AI84" s="588">
        <v>0.17799999999999999</v>
      </c>
      <c r="AJ84" s="588">
        <f xml:space="preserve"> 16.2%</f>
        <v>0.16200000000000001</v>
      </c>
      <c r="AK84" s="588">
        <f xml:space="preserve"> 52.9%</f>
        <v>0.52900000000000003</v>
      </c>
      <c r="AL84" s="588"/>
      <c r="AM84" s="588"/>
      <c r="AS84" s="684" t="s">
        <v>913</v>
      </c>
      <c r="AT84" s="585" t="str">
        <f>IF('Upper Extremity-Right'!T566="","",'Upper Extremity-Right'!T566)</f>
        <v/>
      </c>
      <c r="AU84" s="585" t="str">
        <f t="shared" si="3"/>
        <v/>
      </c>
      <c r="AV84" s="194">
        <f>IF(AU84="",0,VLOOKUP(AU84,$A$3:$AM$153,38))</f>
        <v>0</v>
      </c>
      <c r="AX84" s="147" t="s">
        <v>1224</v>
      </c>
      <c r="AY84" s="585" t="str">
        <f>IF('Upper Extremity-Right'!V566="","",'Upper Extremity-Right'!V566)</f>
        <v/>
      </c>
      <c r="AZ84" s="585" t="str">
        <f>IF(AY84="","",ROUND(AY84,0))</f>
        <v/>
      </c>
      <c r="BA84" s="194">
        <f>IF(AZ84="",0,VLOOKUP(AZ84,$A$3:$AM$153,38))</f>
        <v>0</v>
      </c>
      <c r="BC84" s="684" t="s">
        <v>913</v>
      </c>
      <c r="BD84" s="585" t="str">
        <f>IF('Upper Extremity-Left'!T566="","",'Upper Extremity-Left'!T566)</f>
        <v/>
      </c>
      <c r="BE84" s="585" t="str">
        <f t="shared" si="4"/>
        <v/>
      </c>
      <c r="BF84" s="194">
        <f>IF(BE84="",0,VLOOKUP(BE84,$A$3:$AM$153,38))</f>
        <v>0</v>
      </c>
      <c r="BG84" s="62"/>
      <c r="BH84" s="147" t="s">
        <v>1224</v>
      </c>
      <c r="BI84" s="585" t="str">
        <f>IF('Upper Extremity-Left'!V566="","",'Upper Extremity-Left'!V566)</f>
        <v/>
      </c>
      <c r="BJ84" s="585" t="str">
        <f>IF(BI84="","",ROUND(BI84,0))</f>
        <v/>
      </c>
      <c r="BK84" s="194">
        <f>IF(BJ84="",0,VLOOKUP(BJ84,$A$3:$AM$153,38))</f>
        <v>0</v>
      </c>
    </row>
    <row r="85" spans="1:63" ht="15" customHeight="1" x14ac:dyDescent="0.3">
      <c r="A85" s="50">
        <v>82</v>
      </c>
      <c r="B85" s="50"/>
      <c r="C85" s="50"/>
      <c r="D85" s="50"/>
      <c r="E85" s="50"/>
      <c r="F85" s="50"/>
      <c r="G85" s="50"/>
      <c r="H85" s="50"/>
      <c r="I85" s="50"/>
      <c r="J85" s="50"/>
      <c r="K85" s="588">
        <f xml:space="preserve"> 10.8%</f>
        <v>0.10800000000000001</v>
      </c>
      <c r="L85" s="588">
        <f xml:space="preserve"> 53%</f>
        <v>0.53</v>
      </c>
      <c r="M85" s="588">
        <f xml:space="preserve"> 63.8%</f>
        <v>0.63800000000000001</v>
      </c>
      <c r="N85" s="553">
        <v>4.8000000000000001E-2</v>
      </c>
      <c r="O85" s="553">
        <v>0.88</v>
      </c>
      <c r="P85" s="553">
        <v>0.92800000000000005</v>
      </c>
      <c r="Q85" s="147">
        <v>0.27</v>
      </c>
      <c r="R85" s="520">
        <v>0.14000000000000001</v>
      </c>
      <c r="S85" s="147">
        <v>0.13</v>
      </c>
      <c r="T85" s="147">
        <v>0.06</v>
      </c>
      <c r="U85" s="147">
        <v>0.04</v>
      </c>
      <c r="V85" s="588"/>
      <c r="W85" s="588"/>
      <c r="X85" s="147"/>
      <c r="Y85" s="588"/>
      <c r="Z85" s="588"/>
      <c r="AA85" s="588"/>
      <c r="AB85" s="588"/>
      <c r="AC85" s="588"/>
      <c r="AD85" s="588"/>
      <c r="AE85" s="147"/>
      <c r="AF85" s="588"/>
      <c r="AG85" s="588"/>
      <c r="AH85" s="147">
        <v>0.65</v>
      </c>
      <c r="AI85" s="588">
        <v>0.17599999999999999</v>
      </c>
      <c r="AJ85" s="588">
        <f xml:space="preserve"> 16.4%</f>
        <v>0.16399999999999998</v>
      </c>
      <c r="AK85" s="588">
        <f xml:space="preserve"> 52.8%</f>
        <v>0.52800000000000002</v>
      </c>
      <c r="AL85" s="588"/>
      <c r="AM85" s="588"/>
      <c r="AS85" s="684" t="s">
        <v>931</v>
      </c>
      <c r="AT85" s="585" t="str">
        <f>IF('Upper Extremity-Right'!T567="","",'Upper Extremity-Right'!T567)</f>
        <v/>
      </c>
      <c r="AU85" s="585" t="str">
        <f t="shared" si="3"/>
        <v/>
      </c>
      <c r="AV85" s="194">
        <f>IF(AU85="",0,VLOOKUP(AU85,$A$3:$AM$153,39))</f>
        <v>0</v>
      </c>
      <c r="BC85" s="684" t="s">
        <v>931</v>
      </c>
      <c r="BD85" s="585" t="str">
        <f>IF('Upper Extremity-Left'!T567="","",'Upper Extremity-Left'!T567)</f>
        <v/>
      </c>
      <c r="BE85" s="585" t="str">
        <f t="shared" si="4"/>
        <v/>
      </c>
      <c r="BF85" s="194">
        <f>IF(BE85="",0,VLOOKUP(BE85,$A$3:$AM$153,39))</f>
        <v>0</v>
      </c>
      <c r="BG85" s="62"/>
      <c r="BH85" s="14"/>
    </row>
    <row r="86" spans="1:63" ht="15" customHeight="1" x14ac:dyDescent="0.3">
      <c r="A86" s="50">
        <v>83</v>
      </c>
      <c r="B86" s="50"/>
      <c r="C86" s="50"/>
      <c r="D86" s="50"/>
      <c r="E86" s="50"/>
      <c r="F86" s="50"/>
      <c r="G86" s="50"/>
      <c r="H86" s="50"/>
      <c r="I86" s="50"/>
      <c r="J86" s="50"/>
      <c r="K86" s="588">
        <f xml:space="preserve"> 10.2%</f>
        <v>0.10199999999999999</v>
      </c>
      <c r="L86" s="588">
        <f xml:space="preserve"> 54%</f>
        <v>0.54</v>
      </c>
      <c r="M86" s="588">
        <f xml:space="preserve"> 64.2%</f>
        <v>0.64200000000000002</v>
      </c>
      <c r="N86" s="553">
        <v>4.2000000000000003E-2</v>
      </c>
      <c r="O86" s="553">
        <v>0.89500000000000002</v>
      </c>
      <c r="P86" s="553">
        <v>0.93700000000000006</v>
      </c>
      <c r="Q86" s="147">
        <v>0.27</v>
      </c>
      <c r="R86" s="520">
        <v>0.14000000000000001</v>
      </c>
      <c r="S86" s="147">
        <v>0.13</v>
      </c>
      <c r="T86" s="147">
        <v>0.06</v>
      </c>
      <c r="U86" s="147">
        <v>0.04</v>
      </c>
      <c r="V86" s="588"/>
      <c r="W86" s="588"/>
      <c r="X86" s="147"/>
      <c r="Y86" s="588"/>
      <c r="Z86" s="588"/>
      <c r="AA86" s="588"/>
      <c r="AB86" s="588"/>
      <c r="AC86" s="588"/>
      <c r="AD86" s="588"/>
      <c r="AE86" s="147"/>
      <c r="AF86" s="588"/>
      <c r="AG86" s="588"/>
      <c r="AH86" s="147">
        <v>0.66</v>
      </c>
      <c r="AI86" s="588">
        <v>0.17399999999999999</v>
      </c>
      <c r="AJ86" s="588">
        <f xml:space="preserve"> 16.6%</f>
        <v>0.16600000000000001</v>
      </c>
      <c r="AK86" s="588">
        <f xml:space="preserve"> 52.7%</f>
        <v>0.52700000000000002</v>
      </c>
      <c r="AL86" s="588"/>
      <c r="AM86" s="588"/>
      <c r="AS86" s="684" t="s">
        <v>914</v>
      </c>
      <c r="AT86" s="585" t="str">
        <f>IF('Upper Extremity-Right'!T568="","",'Upper Extremity-Right'!T568)</f>
        <v/>
      </c>
      <c r="AU86" s="585" t="str">
        <f t="shared" si="3"/>
        <v/>
      </c>
      <c r="AV86" s="194">
        <f>IF(AU86="",0,VLOOKUP(AU86,$A$3:$AM$153,38))</f>
        <v>0</v>
      </c>
      <c r="AX86" s="147" t="s">
        <v>1225</v>
      </c>
      <c r="AY86" s="585" t="str">
        <f>IF('Upper Extremity-Right'!V568="","",'Upper Extremity-Right'!V568)</f>
        <v/>
      </c>
      <c r="AZ86" s="585" t="str">
        <f>IF(AY86="","",ROUND(AY86,0))</f>
        <v/>
      </c>
      <c r="BA86" s="194">
        <f>IF(AZ86="",0,VLOOKUP(AZ86,$A$3:$AM$153,38))</f>
        <v>0</v>
      </c>
      <c r="BC86" s="684" t="s">
        <v>914</v>
      </c>
      <c r="BD86" s="585" t="str">
        <f>IF('Upper Extremity-Left'!T568="","",'Upper Extremity-Left'!T568)</f>
        <v/>
      </c>
      <c r="BE86" s="585" t="str">
        <f t="shared" si="4"/>
        <v/>
      </c>
      <c r="BF86" s="194">
        <f>IF(BE86="",0,VLOOKUP(BE86,$A$3:$AM$153,38))</f>
        <v>0</v>
      </c>
      <c r="BG86" s="62"/>
      <c r="BH86" s="147" t="s">
        <v>1225</v>
      </c>
      <c r="BI86" s="585" t="str">
        <f>IF('Upper Extremity-Left'!V568="","",'Upper Extremity-Left'!V568)</f>
        <v/>
      </c>
      <c r="BJ86" s="585" t="str">
        <f>IF(BI86="","",ROUND(BI86,0))</f>
        <v/>
      </c>
      <c r="BK86" s="194">
        <f>IF(BJ86="",0,VLOOKUP(BJ86,$A$3:$AM$153,38))</f>
        <v>0</v>
      </c>
    </row>
    <row r="87" spans="1:63" ht="15" customHeight="1" x14ac:dyDescent="0.3">
      <c r="A87" s="50">
        <v>84</v>
      </c>
      <c r="B87" s="50"/>
      <c r="C87" s="50"/>
      <c r="D87" s="50"/>
      <c r="E87" s="50"/>
      <c r="F87" s="50"/>
      <c r="G87" s="50"/>
      <c r="H87" s="50"/>
      <c r="I87" s="50"/>
      <c r="J87" s="50"/>
      <c r="K87" s="588">
        <f xml:space="preserve">   9.6%</f>
        <v>9.6000000000000002E-2</v>
      </c>
      <c r="L87" s="588">
        <f xml:space="preserve"> 55%</f>
        <v>0.55000000000000004</v>
      </c>
      <c r="M87" s="588">
        <f xml:space="preserve"> 64.6%</f>
        <v>0.64599999999999991</v>
      </c>
      <c r="N87" s="553">
        <v>3.5999999999999997E-2</v>
      </c>
      <c r="O87" s="553">
        <v>0.91</v>
      </c>
      <c r="P87" s="553">
        <v>0.94599999999999995</v>
      </c>
      <c r="Q87" s="147">
        <v>0.27</v>
      </c>
      <c r="R87" s="520">
        <v>0.14000000000000001</v>
      </c>
      <c r="S87" s="147">
        <v>0.13</v>
      </c>
      <c r="T87" s="147">
        <v>0.06</v>
      </c>
      <c r="U87" s="147">
        <v>0.04</v>
      </c>
      <c r="V87" s="588"/>
      <c r="W87" s="588"/>
      <c r="X87" s="147"/>
      <c r="Y87" s="588"/>
      <c r="Z87" s="588"/>
      <c r="AA87" s="588"/>
      <c r="AB87" s="588"/>
      <c r="AC87" s="588"/>
      <c r="AD87" s="588"/>
      <c r="AE87" s="147"/>
      <c r="AF87" s="588"/>
      <c r="AG87" s="588"/>
      <c r="AH87" s="147">
        <v>0.67</v>
      </c>
      <c r="AI87" s="588">
        <v>0.17199999999999999</v>
      </c>
      <c r="AJ87" s="588">
        <f xml:space="preserve"> 16.8%</f>
        <v>0.16800000000000001</v>
      </c>
      <c r="AK87" s="588">
        <f xml:space="preserve"> 52.6%</f>
        <v>0.52600000000000002</v>
      </c>
      <c r="AL87" s="588"/>
      <c r="AM87" s="588"/>
      <c r="AS87" s="684" t="s">
        <v>932</v>
      </c>
      <c r="AT87" s="585" t="str">
        <f>IF('Upper Extremity-Right'!T569="","",'Upper Extremity-Right'!T569)</f>
        <v/>
      </c>
      <c r="AU87" s="585" t="str">
        <f t="shared" si="3"/>
        <v/>
      </c>
      <c r="AV87" s="194">
        <f>IF(AU87="",0,VLOOKUP(AU87,$A$3:$AM$153,39))</f>
        <v>0</v>
      </c>
      <c r="BC87" s="684" t="s">
        <v>932</v>
      </c>
      <c r="BD87" s="585" t="str">
        <f>IF('Upper Extremity-Left'!T569="","",'Upper Extremity-Left'!T569)</f>
        <v/>
      </c>
      <c r="BE87" s="585" t="str">
        <f t="shared" si="4"/>
        <v/>
      </c>
      <c r="BF87" s="194">
        <f>IF(BE87="",0,VLOOKUP(BE87,$A$3:$AM$153,39))</f>
        <v>0</v>
      </c>
      <c r="BG87" s="62"/>
      <c r="BH87" s="14"/>
    </row>
    <row r="88" spans="1:63" ht="15" customHeight="1" x14ac:dyDescent="0.3">
      <c r="A88" s="50">
        <v>85</v>
      </c>
      <c r="B88" s="50"/>
      <c r="C88" s="50"/>
      <c r="D88" s="50"/>
      <c r="E88" s="50"/>
      <c r="F88" s="50"/>
      <c r="G88" s="50"/>
      <c r="H88" s="50"/>
      <c r="I88" s="50"/>
      <c r="J88" s="50"/>
      <c r="K88" s="588">
        <f xml:space="preserve">   9%</f>
        <v>0.09</v>
      </c>
      <c r="L88" s="588">
        <f xml:space="preserve"> 56%</f>
        <v>0.56000000000000005</v>
      </c>
      <c r="M88" s="588">
        <f xml:space="preserve"> 65%</f>
        <v>0.65</v>
      </c>
      <c r="N88" s="553">
        <v>0.03</v>
      </c>
      <c r="O88" s="553">
        <v>0.92500000000000004</v>
      </c>
      <c r="P88" s="553">
        <v>0.95499999999999996</v>
      </c>
      <c r="Q88" s="147">
        <v>0.28000000000000003</v>
      </c>
      <c r="R88" s="520">
        <v>0.14000000000000001</v>
      </c>
      <c r="S88" s="147">
        <v>0.13</v>
      </c>
      <c r="T88" s="147">
        <v>0.06</v>
      </c>
      <c r="U88" s="147">
        <v>0.04</v>
      </c>
      <c r="V88" s="588"/>
      <c r="W88" s="588"/>
      <c r="X88" s="147"/>
      <c r="Y88" s="588"/>
      <c r="Z88" s="588"/>
      <c r="AA88" s="588"/>
      <c r="AB88" s="588"/>
      <c r="AC88" s="588"/>
      <c r="AD88" s="588"/>
      <c r="AE88" s="147"/>
      <c r="AF88" s="588"/>
      <c r="AG88" s="588"/>
      <c r="AH88" s="147">
        <v>0.68</v>
      </c>
      <c r="AI88" s="588">
        <v>0.17</v>
      </c>
      <c r="AJ88" s="588">
        <f xml:space="preserve"> 17%</f>
        <v>0.17</v>
      </c>
      <c r="AK88" s="588">
        <f xml:space="preserve"> 52.5%</f>
        <v>0.52500000000000002</v>
      </c>
      <c r="AL88" s="588"/>
      <c r="AM88" s="588"/>
      <c r="BC88" s="147"/>
      <c r="BD88" s="62"/>
      <c r="BE88" s="62"/>
      <c r="BG88" s="62"/>
      <c r="BH88" s="14"/>
    </row>
    <row r="89" spans="1:63" ht="15" customHeight="1" x14ac:dyDescent="0.3">
      <c r="A89" s="50">
        <v>86</v>
      </c>
      <c r="B89" s="50"/>
      <c r="C89" s="50"/>
      <c r="D89" s="50"/>
      <c r="E89" s="50"/>
      <c r="F89" s="50"/>
      <c r="G89" s="50"/>
      <c r="H89" s="50"/>
      <c r="I89" s="50"/>
      <c r="J89" s="50"/>
      <c r="K89" s="588">
        <f xml:space="preserve">   8.4%</f>
        <v>8.4000000000000005E-2</v>
      </c>
      <c r="L89" s="588">
        <f xml:space="preserve"> 57%</f>
        <v>0.56999999999999995</v>
      </c>
      <c r="M89" s="588">
        <f xml:space="preserve"> 65.4%</f>
        <v>0.65400000000000003</v>
      </c>
      <c r="N89" s="553">
        <v>2.4E-2</v>
      </c>
      <c r="O89" s="553">
        <v>0.94</v>
      </c>
      <c r="P89" s="553">
        <v>0.96399999999999997</v>
      </c>
      <c r="Q89" s="147">
        <v>0.28000000000000003</v>
      </c>
      <c r="R89" s="520">
        <v>0.14000000000000001</v>
      </c>
      <c r="S89" s="147">
        <v>0.13</v>
      </c>
      <c r="T89" s="147">
        <v>0.06</v>
      </c>
      <c r="U89" s="147">
        <v>0.04</v>
      </c>
      <c r="V89" s="588"/>
      <c r="W89" s="588"/>
      <c r="X89" s="147"/>
      <c r="Y89" s="588"/>
      <c r="Z89" s="588"/>
      <c r="AA89" s="588"/>
      <c r="AB89" s="588"/>
      <c r="AC89" s="588"/>
      <c r="AD89" s="588"/>
      <c r="AE89" s="147"/>
      <c r="AF89" s="588"/>
      <c r="AG89" s="588"/>
      <c r="AH89" s="147">
        <v>0.68</v>
      </c>
      <c r="AI89" s="588">
        <v>0.16800000000000001</v>
      </c>
      <c r="AJ89" s="588">
        <f xml:space="preserve"> 17.2%</f>
        <v>0.17199999999999999</v>
      </c>
      <c r="AK89" s="588">
        <f xml:space="preserve"> 52.4%</f>
        <v>0.52400000000000002</v>
      </c>
      <c r="AL89" s="588"/>
      <c r="AM89" s="588"/>
      <c r="AS89" s="593" t="s">
        <v>1814</v>
      </c>
      <c r="AT89" s="693" t="s">
        <v>1795</v>
      </c>
      <c r="AY89" s="62"/>
      <c r="AZ89" s="62"/>
      <c r="BC89" s="147" t="s">
        <v>1814</v>
      </c>
      <c r="BD89" s="62"/>
      <c r="BE89" s="62"/>
      <c r="BF89" s="585" t="s">
        <v>1795</v>
      </c>
      <c r="BG89" s="62"/>
      <c r="BH89" s="14"/>
      <c r="BI89" s="62"/>
      <c r="BJ89" s="62"/>
    </row>
    <row r="90" spans="1:63" ht="15" customHeight="1" x14ac:dyDescent="0.3">
      <c r="A90" s="50">
        <v>87</v>
      </c>
      <c r="B90" s="50"/>
      <c r="C90" s="50"/>
      <c r="D90" s="50"/>
      <c r="E90" s="50"/>
      <c r="F90" s="50"/>
      <c r="G90" s="50"/>
      <c r="H90" s="50"/>
      <c r="I90" s="50"/>
      <c r="J90" s="50"/>
      <c r="K90" s="588">
        <f xml:space="preserve">   7.8%</f>
        <v>7.8E-2</v>
      </c>
      <c r="L90" s="588">
        <f xml:space="preserve"> 58%</f>
        <v>0.57999999999999996</v>
      </c>
      <c r="M90" s="588">
        <f xml:space="preserve"> 65.8%</f>
        <v>0.65799999999999992</v>
      </c>
      <c r="N90" s="553">
        <v>1.7999999999999999E-2</v>
      </c>
      <c r="O90" s="553">
        <v>0.95499999999999996</v>
      </c>
      <c r="P90" s="553">
        <v>0.97299999999999998</v>
      </c>
      <c r="Q90" s="147">
        <v>0.28000000000000003</v>
      </c>
      <c r="R90" s="520">
        <v>0.14000000000000001</v>
      </c>
      <c r="S90" s="147">
        <v>0.13</v>
      </c>
      <c r="T90" s="147">
        <v>0.06</v>
      </c>
      <c r="U90" s="147">
        <v>0.04</v>
      </c>
      <c r="V90" s="588"/>
      <c r="W90" s="588"/>
      <c r="X90" s="147"/>
      <c r="Y90" s="588"/>
      <c r="Z90" s="588"/>
      <c r="AA90" s="588"/>
      <c r="AB90" s="588"/>
      <c r="AC90" s="588"/>
      <c r="AD90" s="588"/>
      <c r="AE90" s="147"/>
      <c r="AF90" s="588"/>
      <c r="AG90" s="588"/>
      <c r="AH90" s="147">
        <v>0.69</v>
      </c>
      <c r="AI90" s="588">
        <v>0.16600000000000001</v>
      </c>
      <c r="AJ90" s="588">
        <f xml:space="preserve"> 17.4%</f>
        <v>0.17399999999999999</v>
      </c>
      <c r="AK90" s="588">
        <f xml:space="preserve"> 52.3%</f>
        <v>0.52300000000000002</v>
      </c>
      <c r="AL90" s="588"/>
      <c r="AM90" s="588"/>
      <c r="AS90" s="147" t="s">
        <v>1573</v>
      </c>
      <c r="AT90" s="585">
        <f>'Upper Extremity-Right'!C518*100</f>
        <v>0</v>
      </c>
      <c r="AU90" s="585">
        <f>IF(AT90="","",ROUND(AT90,0))</f>
        <v>0</v>
      </c>
      <c r="AV90" s="194">
        <f>IF(AU90="",0,VLOOKUP(AU90,$A$3:$AP$103,17))</f>
        <v>0</v>
      </c>
      <c r="AY90" s="62"/>
      <c r="AZ90" s="62"/>
      <c r="BA90" s="95"/>
      <c r="BC90" s="147" t="s">
        <v>1573</v>
      </c>
      <c r="BD90" s="585">
        <f>'Upper Extremity-Left'!C518*100</f>
        <v>0</v>
      </c>
      <c r="BE90" s="585">
        <f>IF(BD90="","",ROUND(BD90,0))</f>
        <v>0</v>
      </c>
      <c r="BF90" s="194">
        <f>IF(BE90="",0,VLOOKUP(BE90,$A$3:$AP$103,17))</f>
        <v>0</v>
      </c>
      <c r="BG90" s="62"/>
      <c r="BH90" s="14"/>
      <c r="BI90" s="62"/>
      <c r="BJ90" s="62"/>
      <c r="BK90" s="95"/>
    </row>
    <row r="91" spans="1:63" ht="15" customHeight="1" x14ac:dyDescent="0.3">
      <c r="A91" s="50">
        <v>88</v>
      </c>
      <c r="B91" s="50"/>
      <c r="C91" s="50"/>
      <c r="D91" s="50"/>
      <c r="E91" s="50"/>
      <c r="F91" s="50"/>
      <c r="G91" s="50"/>
      <c r="H91" s="50"/>
      <c r="I91" s="50"/>
      <c r="J91" s="50"/>
      <c r="K91" s="588">
        <f xml:space="preserve">   7.2%</f>
        <v>7.2000000000000008E-2</v>
      </c>
      <c r="L91" s="588">
        <f xml:space="preserve"> 59%</f>
        <v>0.59</v>
      </c>
      <c r="M91" s="588">
        <f xml:space="preserve"> 66.2%</f>
        <v>0.66200000000000003</v>
      </c>
      <c r="N91" s="553">
        <v>1.2E-2</v>
      </c>
      <c r="O91" s="553">
        <v>0.97</v>
      </c>
      <c r="P91" s="553">
        <v>0.98199999999999998</v>
      </c>
      <c r="Q91" s="147">
        <v>0.28999999999999998</v>
      </c>
      <c r="R91" s="520">
        <v>0.15</v>
      </c>
      <c r="S91" s="147">
        <v>0.13</v>
      </c>
      <c r="T91" s="147">
        <v>0.06</v>
      </c>
      <c r="U91" s="147">
        <v>0.04</v>
      </c>
      <c r="V91" s="588"/>
      <c r="W91" s="588"/>
      <c r="X91" s="147"/>
      <c r="Y91" s="588"/>
      <c r="Z91" s="588"/>
      <c r="AA91" s="588"/>
      <c r="AB91" s="588"/>
      <c r="AC91" s="588"/>
      <c r="AD91" s="588"/>
      <c r="AE91" s="147"/>
      <c r="AF91" s="588"/>
      <c r="AG91" s="588"/>
      <c r="AH91" s="147">
        <v>0.7</v>
      </c>
      <c r="AI91" s="588">
        <v>0.16400000000000001</v>
      </c>
      <c r="AJ91" s="588">
        <f xml:space="preserve"> 17.6%</f>
        <v>0.17600000000000002</v>
      </c>
      <c r="AK91" s="588">
        <f xml:space="preserve"> 52.2%</f>
        <v>0.52200000000000002</v>
      </c>
      <c r="AL91" s="588"/>
      <c r="AM91" s="588"/>
      <c r="AS91" s="147" t="s">
        <v>147</v>
      </c>
      <c r="AT91" s="585">
        <f>'Upper Extremity-Right'!C519*100</f>
        <v>0</v>
      </c>
      <c r="AU91" s="585">
        <f>IF(AT91="","",ROUND(AT91,0))</f>
        <v>0</v>
      </c>
      <c r="AV91" s="194">
        <f>IF(AU91="",0,VLOOKUP(AU91,$A$3:$AP$103,18))</f>
        <v>0</v>
      </c>
      <c r="AY91" s="62"/>
      <c r="AZ91" s="62"/>
      <c r="BA91" s="95"/>
      <c r="BC91" s="147" t="s">
        <v>147</v>
      </c>
      <c r="BD91" s="585">
        <f>'Upper Extremity-Left'!C519*100</f>
        <v>0</v>
      </c>
      <c r="BE91" s="585">
        <f>IF(BD91="","",ROUND(BD91,0))</f>
        <v>0</v>
      </c>
      <c r="BF91" s="194">
        <f>IF(BE91="",0,VLOOKUP(BE91,$A$3:$AP$103,18))</f>
        <v>0</v>
      </c>
      <c r="BG91" s="62"/>
      <c r="BH91" s="14"/>
      <c r="BI91" s="62"/>
      <c r="BJ91" s="62"/>
      <c r="BK91" s="95"/>
    </row>
    <row r="92" spans="1:63" ht="15" customHeight="1" x14ac:dyDescent="0.3">
      <c r="A92" s="50">
        <v>89</v>
      </c>
      <c r="B92" s="50"/>
      <c r="C92" s="50"/>
      <c r="D92" s="50"/>
      <c r="E92" s="50"/>
      <c r="F92" s="50"/>
      <c r="G92" s="50"/>
      <c r="H92" s="50"/>
      <c r="I92" s="50"/>
      <c r="J92" s="50"/>
      <c r="K92" s="588">
        <f xml:space="preserve">   6.6%</f>
        <v>6.6000000000000003E-2</v>
      </c>
      <c r="L92" s="588">
        <f xml:space="preserve"> 60%</f>
        <v>0.6</v>
      </c>
      <c r="M92" s="588">
        <f xml:space="preserve"> 66.6%</f>
        <v>0.66599999999999993</v>
      </c>
      <c r="N92" s="553">
        <v>6.0000000000000001E-3</v>
      </c>
      <c r="O92" s="553">
        <v>0.98499999999999999</v>
      </c>
      <c r="P92" s="553">
        <v>0.99099999999999999</v>
      </c>
      <c r="Q92" s="147">
        <v>0.28999999999999998</v>
      </c>
      <c r="R92" s="520">
        <v>0.15</v>
      </c>
      <c r="S92" s="147">
        <v>0.14000000000000001</v>
      </c>
      <c r="T92" s="147">
        <v>0.06</v>
      </c>
      <c r="U92" s="147">
        <v>0.04</v>
      </c>
      <c r="V92" s="588"/>
      <c r="W92" s="588"/>
      <c r="X92" s="147"/>
      <c r="Y92" s="588"/>
      <c r="Z92" s="588"/>
      <c r="AA92" s="588"/>
      <c r="AB92" s="588"/>
      <c r="AC92" s="588"/>
      <c r="AD92" s="588"/>
      <c r="AE92" s="147"/>
      <c r="AF92" s="588"/>
      <c r="AG92" s="588"/>
      <c r="AH92" s="147">
        <v>0.71</v>
      </c>
      <c r="AI92" s="588">
        <v>0.16200000000000001</v>
      </c>
      <c r="AJ92" s="588">
        <f xml:space="preserve"> 17.8%</f>
        <v>0.17800000000000002</v>
      </c>
      <c r="AK92" s="588">
        <f xml:space="preserve"> 52.1%</f>
        <v>0.52100000000000002</v>
      </c>
      <c r="AL92" s="588"/>
      <c r="AM92" s="588"/>
      <c r="AS92" s="147" t="s">
        <v>1567</v>
      </c>
      <c r="AT92" s="585">
        <f>'Upper Extremity-Right'!C520*100</f>
        <v>0</v>
      </c>
      <c r="AU92" s="585">
        <f>IF(AT92="","",ROUND(AT92,0))</f>
        <v>0</v>
      </c>
      <c r="AV92" s="194">
        <f>IF(AU92="",0,VLOOKUP(AU92,$A$3:$AP$103,19))</f>
        <v>0</v>
      </c>
      <c r="AY92" s="62"/>
      <c r="AZ92" s="62"/>
      <c r="BA92" s="95"/>
      <c r="BC92" s="147" t="s">
        <v>1567</v>
      </c>
      <c r="BD92" s="585">
        <f>'Upper Extremity-Left'!C520*100</f>
        <v>0</v>
      </c>
      <c r="BE92" s="585">
        <f>IF(BD92="","",ROUND(BD92,0))</f>
        <v>0</v>
      </c>
      <c r="BF92" s="194">
        <f>IF(BE92="",0,VLOOKUP(BE92,$A$3:$AP$103,19))</f>
        <v>0</v>
      </c>
      <c r="BG92" s="62"/>
      <c r="BH92" s="14"/>
      <c r="BI92" s="62"/>
      <c r="BJ92" s="62"/>
      <c r="BK92" s="95"/>
    </row>
    <row r="93" spans="1:63" ht="15" customHeight="1" x14ac:dyDescent="0.3">
      <c r="A93" s="50">
        <v>90</v>
      </c>
      <c r="B93" s="50"/>
      <c r="C93" s="50"/>
      <c r="D93" s="50"/>
      <c r="E93" s="50"/>
      <c r="F93" s="50"/>
      <c r="G93" s="50"/>
      <c r="H93" s="50"/>
      <c r="I93" s="50"/>
      <c r="J93" s="50"/>
      <c r="K93" s="588">
        <f xml:space="preserve">   6%</f>
        <v>0.06</v>
      </c>
      <c r="L93" s="588">
        <f xml:space="preserve"> 61%</f>
        <v>0.61</v>
      </c>
      <c r="M93" s="588">
        <f xml:space="preserve"> 67%</f>
        <v>0.67</v>
      </c>
      <c r="N93" s="553">
        <v>0</v>
      </c>
      <c r="O93" s="553">
        <v>1</v>
      </c>
      <c r="P93" s="553">
        <v>1</v>
      </c>
      <c r="Q93" s="147">
        <v>0.28999999999999998</v>
      </c>
      <c r="R93" s="520">
        <v>0.15</v>
      </c>
      <c r="S93" s="147">
        <v>0.14000000000000001</v>
      </c>
      <c r="T93" s="147">
        <v>7.0000000000000007E-2</v>
      </c>
      <c r="U93" s="147">
        <v>0.04</v>
      </c>
      <c r="V93" s="588"/>
      <c r="W93" s="588"/>
      <c r="X93" s="147"/>
      <c r="Y93" s="588"/>
      <c r="Z93" s="588"/>
      <c r="AA93" s="588"/>
      <c r="AB93" s="588"/>
      <c r="AC93" s="588"/>
      <c r="AD93" s="588"/>
      <c r="AE93" s="147"/>
      <c r="AF93" s="588"/>
      <c r="AG93" s="588"/>
      <c r="AH93" s="147">
        <v>0.72</v>
      </c>
      <c r="AI93" s="588">
        <v>0.16</v>
      </c>
      <c r="AJ93" s="588">
        <f xml:space="preserve"> 18%</f>
        <v>0.18</v>
      </c>
      <c r="AK93" s="588">
        <f xml:space="preserve"> 52%</f>
        <v>0.52</v>
      </c>
      <c r="AL93" s="588"/>
      <c r="AM93" s="588"/>
      <c r="AS93" s="147" t="s">
        <v>1569</v>
      </c>
      <c r="AT93" s="585">
        <f>'Upper Extremity-Right'!C521*100</f>
        <v>0</v>
      </c>
      <c r="AU93" s="585">
        <f>IF(AT93="","",ROUND(AT93,0))</f>
        <v>0</v>
      </c>
      <c r="AV93" s="194">
        <f>IF(AU93="",0,VLOOKUP(AU93,$A$3:$AP$103,20))</f>
        <v>0</v>
      </c>
      <c r="AY93" s="62"/>
      <c r="AZ93" s="62"/>
      <c r="BC93" s="147" t="s">
        <v>1569</v>
      </c>
      <c r="BD93" s="585">
        <f>'Upper Extremity-Left'!C521*100</f>
        <v>0</v>
      </c>
      <c r="BE93" s="585">
        <f>IF(BD93="","",ROUND(BD93,0))</f>
        <v>0</v>
      </c>
      <c r="BF93" s="194">
        <f>IF(BE93="",0,VLOOKUP(BE93,$A$3:$AP$103,20))</f>
        <v>0</v>
      </c>
      <c r="BG93" s="62"/>
      <c r="BH93" s="14"/>
      <c r="BI93" s="62"/>
      <c r="BJ93" s="62"/>
    </row>
    <row r="94" spans="1:63" ht="15" customHeight="1" x14ac:dyDescent="0.3">
      <c r="A94" s="50">
        <v>91</v>
      </c>
      <c r="B94" s="50"/>
      <c r="C94" s="50"/>
      <c r="D94" s="50"/>
      <c r="E94" s="50"/>
      <c r="F94" s="50"/>
      <c r="G94" s="50"/>
      <c r="H94" s="50"/>
      <c r="I94" s="50"/>
      <c r="J94" s="50"/>
      <c r="K94" s="588">
        <f xml:space="preserve">   5.4%</f>
        <v>5.4000000000000006E-2</v>
      </c>
      <c r="L94" s="588">
        <f xml:space="preserve"> 61.9%</f>
        <v>0.61899999999999999</v>
      </c>
      <c r="M94" s="588">
        <f xml:space="preserve"> 67.3%</f>
        <v>0.67299999999999993</v>
      </c>
      <c r="N94" s="50"/>
      <c r="O94" s="50"/>
      <c r="P94" s="50"/>
      <c r="Q94" s="147">
        <v>0.3</v>
      </c>
      <c r="R94" s="520">
        <v>0.15</v>
      </c>
      <c r="S94" s="147">
        <v>0.14000000000000001</v>
      </c>
      <c r="T94" s="147">
        <v>7.0000000000000007E-2</v>
      </c>
      <c r="U94" s="147">
        <v>0.04</v>
      </c>
      <c r="V94" s="588"/>
      <c r="W94" s="588"/>
      <c r="X94" s="147"/>
      <c r="Y94" s="588"/>
      <c r="Z94" s="588"/>
      <c r="AA94" s="588"/>
      <c r="AB94" s="588"/>
      <c r="AC94" s="588"/>
      <c r="AD94" s="588"/>
      <c r="AE94" s="147"/>
      <c r="AF94" s="588"/>
      <c r="AG94" s="588"/>
      <c r="AH94" s="147">
        <v>0.72</v>
      </c>
      <c r="AI94" s="588">
        <v>0.157</v>
      </c>
      <c r="AJ94" s="588">
        <f xml:space="preserve"> 18.2%</f>
        <v>0.182</v>
      </c>
      <c r="AK94" s="588">
        <f xml:space="preserve"> 51.8%</f>
        <v>0.51800000000000002</v>
      </c>
      <c r="AL94" s="588"/>
      <c r="AM94" s="588"/>
      <c r="AS94" s="147" t="s">
        <v>1571</v>
      </c>
      <c r="AT94" s="585">
        <f>'Upper Extremity-Right'!C522*100</f>
        <v>0</v>
      </c>
      <c r="AU94" s="585">
        <f>IF(AT94="","",ROUND(AT94,0))</f>
        <v>0</v>
      </c>
      <c r="AV94" s="194">
        <f>IF(AU94="",0,VLOOKUP(AU94,$A$3:$AP$103,21))</f>
        <v>0</v>
      </c>
      <c r="AY94" s="62"/>
      <c r="AZ94" s="62"/>
      <c r="BC94" s="147" t="s">
        <v>1571</v>
      </c>
      <c r="BD94" s="585">
        <f>'Upper Extremity-Left'!C522*100</f>
        <v>0</v>
      </c>
      <c r="BE94" s="585">
        <f>IF(BD94="","",ROUND(BD94,0))</f>
        <v>0</v>
      </c>
      <c r="BF94" s="194">
        <f>IF(BE94="",0,VLOOKUP(BE94,$A$3:$AP$103,21))</f>
        <v>0</v>
      </c>
      <c r="BG94" s="62"/>
      <c r="BH94" s="14"/>
      <c r="BI94" s="62"/>
      <c r="BJ94" s="62"/>
    </row>
    <row r="95" spans="1:63" ht="15" customHeight="1" x14ac:dyDescent="0.3">
      <c r="A95" s="50">
        <v>92</v>
      </c>
      <c r="B95" s="50"/>
      <c r="C95" s="50"/>
      <c r="D95" s="50"/>
      <c r="E95" s="50"/>
      <c r="F95" s="50"/>
      <c r="G95" s="50"/>
      <c r="H95" s="50"/>
      <c r="I95" s="50"/>
      <c r="J95" s="50"/>
      <c r="K95" s="588">
        <f xml:space="preserve">   4.8%</f>
        <v>4.8000000000000001E-2</v>
      </c>
      <c r="L95" s="588">
        <f xml:space="preserve"> 62.8%</f>
        <v>0.628</v>
      </c>
      <c r="M95" s="588">
        <f xml:space="preserve"> 67.6%</f>
        <v>0.67599999999999993</v>
      </c>
      <c r="N95" s="50"/>
      <c r="O95" s="50"/>
      <c r="P95" s="50"/>
      <c r="Q95" s="147">
        <v>0.3</v>
      </c>
      <c r="R95" s="520">
        <v>0.15</v>
      </c>
      <c r="S95" s="147">
        <v>0.14000000000000001</v>
      </c>
      <c r="T95" s="147">
        <v>7.0000000000000007E-2</v>
      </c>
      <c r="U95" s="147">
        <v>0.04</v>
      </c>
      <c r="V95" s="588"/>
      <c r="W95" s="588"/>
      <c r="X95" s="147"/>
      <c r="Y95" s="588"/>
      <c r="Z95" s="588"/>
      <c r="AA95" s="588"/>
      <c r="AB95" s="588"/>
      <c r="AC95" s="588"/>
      <c r="AD95" s="588"/>
      <c r="AE95" s="147"/>
      <c r="AF95" s="588"/>
      <c r="AG95" s="588"/>
      <c r="AH95" s="147">
        <v>0.73</v>
      </c>
      <c r="AI95" s="588">
        <v>0.154</v>
      </c>
      <c r="AJ95" s="588">
        <f xml:space="preserve"> 18.4%</f>
        <v>0.184</v>
      </c>
      <c r="AK95" s="588">
        <f xml:space="preserve"> 51.6%</f>
        <v>0.51600000000000001</v>
      </c>
      <c r="AL95" s="588"/>
      <c r="AM95" s="588"/>
      <c r="AY95" s="62"/>
      <c r="AZ95" s="62"/>
      <c r="BA95" s="95"/>
      <c r="BC95" s="147"/>
      <c r="BD95" s="62"/>
      <c r="BE95" s="62"/>
      <c r="BG95" s="62"/>
      <c r="BH95" s="14"/>
      <c r="BI95" s="62"/>
      <c r="BJ95" s="62"/>
      <c r="BK95" s="95"/>
    </row>
    <row r="96" spans="1:63" ht="15" customHeight="1" x14ac:dyDescent="0.3">
      <c r="A96" s="50">
        <v>93</v>
      </c>
      <c r="B96" s="50"/>
      <c r="C96" s="50"/>
      <c r="D96" s="50"/>
      <c r="E96" s="50"/>
      <c r="F96" s="50"/>
      <c r="G96" s="50"/>
      <c r="H96" s="50"/>
      <c r="I96" s="50"/>
      <c r="J96" s="50"/>
      <c r="K96" s="588">
        <f xml:space="preserve">   4.2%</f>
        <v>4.2000000000000003E-2</v>
      </c>
      <c r="L96" s="588">
        <f xml:space="preserve"> 63.7%</f>
        <v>0.63700000000000001</v>
      </c>
      <c r="M96" s="588">
        <f xml:space="preserve"> 67.9%</f>
        <v>0.67900000000000005</v>
      </c>
      <c r="N96" s="50"/>
      <c r="O96" s="50"/>
      <c r="P96" s="50"/>
      <c r="Q96" s="147">
        <v>0.3</v>
      </c>
      <c r="R96" s="520">
        <v>0.15</v>
      </c>
      <c r="S96" s="147">
        <v>0.14000000000000001</v>
      </c>
      <c r="T96" s="147">
        <v>7.0000000000000007E-2</v>
      </c>
      <c r="U96" s="147">
        <v>0.04</v>
      </c>
      <c r="V96" s="588"/>
      <c r="W96" s="588"/>
      <c r="X96" s="147"/>
      <c r="Y96" s="588"/>
      <c r="Z96" s="588"/>
      <c r="AA96" s="588"/>
      <c r="AB96" s="588"/>
      <c r="AC96" s="588"/>
      <c r="AD96" s="588"/>
      <c r="AE96" s="147"/>
      <c r="AF96" s="588"/>
      <c r="AG96" s="588"/>
      <c r="AH96" s="147">
        <v>0.74</v>
      </c>
      <c r="AI96" s="588">
        <v>0.151</v>
      </c>
      <c r="AJ96" s="588">
        <f xml:space="preserve"> 18.6%</f>
        <v>0.18600000000000003</v>
      </c>
      <c r="AK96" s="588">
        <f xml:space="preserve"> 51.4%</f>
        <v>0.51400000000000001</v>
      </c>
      <c r="AL96" s="588"/>
      <c r="AM96" s="588"/>
      <c r="AS96" s="593" t="s">
        <v>1934</v>
      </c>
      <c r="AV96" s="693" t="s">
        <v>1795</v>
      </c>
      <c r="AY96" s="62"/>
      <c r="AZ96" s="62"/>
      <c r="BA96" s="95"/>
      <c r="BC96" s="147" t="s">
        <v>1934</v>
      </c>
      <c r="BD96" s="62"/>
      <c r="BE96" s="62"/>
      <c r="BF96" s="585" t="s">
        <v>1795</v>
      </c>
      <c r="BG96" s="62"/>
      <c r="BH96" s="14"/>
      <c r="BI96" s="62"/>
      <c r="BJ96" s="62"/>
      <c r="BK96" s="95"/>
    </row>
    <row r="97" spans="1:63" ht="15" customHeight="1" x14ac:dyDescent="0.3">
      <c r="A97" s="50">
        <v>94</v>
      </c>
      <c r="B97" s="50"/>
      <c r="C97" s="50"/>
      <c r="D97" s="50"/>
      <c r="E97" s="50"/>
      <c r="F97" s="50"/>
      <c r="G97" s="50"/>
      <c r="H97" s="50"/>
      <c r="I97" s="50"/>
      <c r="J97" s="50"/>
      <c r="K97" s="588">
        <f xml:space="preserve">   3.6%</f>
        <v>3.6000000000000004E-2</v>
      </c>
      <c r="L97" s="588">
        <f xml:space="preserve"> 64.6%</f>
        <v>0.64599999999999991</v>
      </c>
      <c r="M97" s="588">
        <f xml:space="preserve"> 68.2%</f>
        <v>0.68200000000000005</v>
      </c>
      <c r="N97" s="50"/>
      <c r="O97" s="50"/>
      <c r="P97" s="50"/>
      <c r="Q97" s="147">
        <v>0.31</v>
      </c>
      <c r="R97" s="520">
        <v>0.16</v>
      </c>
      <c r="S97" s="147">
        <v>0.14000000000000001</v>
      </c>
      <c r="T97" s="147">
        <v>7.0000000000000007E-2</v>
      </c>
      <c r="U97" s="147">
        <v>0.04</v>
      </c>
      <c r="V97" s="588"/>
      <c r="W97" s="588"/>
      <c r="X97" s="147"/>
      <c r="Y97" s="588"/>
      <c r="Z97" s="588"/>
      <c r="AA97" s="588"/>
      <c r="AB97" s="588"/>
      <c r="AC97" s="588"/>
      <c r="AD97" s="588"/>
      <c r="AE97" s="147"/>
      <c r="AF97" s="588"/>
      <c r="AG97" s="588"/>
      <c r="AH97" s="147">
        <v>0.75</v>
      </c>
      <c r="AI97" s="588">
        <v>0.14799999999999999</v>
      </c>
      <c r="AJ97" s="588">
        <f xml:space="preserve"> 18.8%</f>
        <v>0.188</v>
      </c>
      <c r="AK97" s="588">
        <f xml:space="preserve"> 51.2%</f>
        <v>0.51200000000000001</v>
      </c>
      <c r="AL97" s="588"/>
      <c r="AM97" s="588"/>
      <c r="AS97" s="147" t="s">
        <v>1935</v>
      </c>
      <c r="AT97" s="585">
        <f>'Upper Extremity-Right'!P527*100</f>
        <v>0</v>
      </c>
      <c r="AU97" s="585">
        <f>IF(AT97="","",ROUND(AT97,0))</f>
        <v>0</v>
      </c>
      <c r="AV97" s="194">
        <f>IF(AU97="",0,VLOOKUP(AU97,$A$3:$AP$103,34))</f>
        <v>0</v>
      </c>
      <c r="AY97" s="62"/>
      <c r="AZ97" s="62"/>
      <c r="BA97" s="95"/>
      <c r="BC97" s="147" t="s">
        <v>1935</v>
      </c>
      <c r="BD97" s="585">
        <f>'Upper Extremity-Left'!P527*100</f>
        <v>0</v>
      </c>
      <c r="BE97" s="585">
        <f>IF(BD97="","",ROUND(BD97,0))</f>
        <v>0</v>
      </c>
      <c r="BF97" s="194">
        <f>IF(BE97="",0,VLOOKUP(BE97,$A$3:$AP$103,34))</f>
        <v>0</v>
      </c>
      <c r="BG97" s="62"/>
      <c r="BH97" s="14"/>
      <c r="BI97" s="62"/>
      <c r="BJ97" s="62"/>
      <c r="BK97" s="95"/>
    </row>
    <row r="98" spans="1:63" ht="15" customHeight="1" x14ac:dyDescent="0.3">
      <c r="A98" s="50">
        <v>95</v>
      </c>
      <c r="B98" s="50"/>
      <c r="C98" s="50"/>
      <c r="D98" s="50"/>
      <c r="E98" s="50"/>
      <c r="F98" s="50"/>
      <c r="G98" s="50"/>
      <c r="H98" s="50"/>
      <c r="I98" s="50"/>
      <c r="J98" s="50"/>
      <c r="K98" s="588">
        <f xml:space="preserve">   3%</f>
        <v>0.03</v>
      </c>
      <c r="L98" s="588">
        <f xml:space="preserve"> 65.5%</f>
        <v>0.65500000000000003</v>
      </c>
      <c r="M98" s="588">
        <f xml:space="preserve"> 68.5%</f>
        <v>0.68500000000000005</v>
      </c>
      <c r="N98" s="50"/>
      <c r="O98" s="50"/>
      <c r="P98" s="50"/>
      <c r="Q98" s="147">
        <v>0.31</v>
      </c>
      <c r="R98" s="520">
        <v>0.16</v>
      </c>
      <c r="S98" s="147">
        <v>0.14000000000000001</v>
      </c>
      <c r="T98" s="147">
        <v>7.0000000000000007E-2</v>
      </c>
      <c r="U98" s="147">
        <v>0.04</v>
      </c>
      <c r="V98" s="588"/>
      <c r="W98" s="588"/>
      <c r="X98" s="147"/>
      <c r="Y98" s="588"/>
      <c r="Z98" s="588"/>
      <c r="AA98" s="588"/>
      <c r="AB98" s="588"/>
      <c r="AC98" s="588"/>
      <c r="AD98" s="588"/>
      <c r="AE98" s="147"/>
      <c r="AF98" s="588"/>
      <c r="AG98" s="588"/>
      <c r="AH98" s="147">
        <v>0.76</v>
      </c>
      <c r="AI98" s="588">
        <v>0.14499999999999999</v>
      </c>
      <c r="AJ98" s="588">
        <f xml:space="preserve"> 19%</f>
        <v>0.19</v>
      </c>
      <c r="AK98" s="588">
        <f xml:space="preserve"> 51%</f>
        <v>0.51</v>
      </c>
      <c r="AL98" s="588"/>
      <c r="AM98" s="588"/>
      <c r="AY98" s="62"/>
      <c r="AZ98" s="62"/>
      <c r="BD98" s="62"/>
      <c r="BE98" s="62"/>
      <c r="BG98" s="62"/>
      <c r="BH98" s="14"/>
      <c r="BI98" s="62"/>
      <c r="BJ98" s="62"/>
    </row>
    <row r="99" spans="1:63" ht="15" customHeight="1" x14ac:dyDescent="0.3">
      <c r="A99" s="50">
        <v>96</v>
      </c>
      <c r="B99" s="50"/>
      <c r="C99" s="50"/>
      <c r="D99" s="50"/>
      <c r="E99" s="50"/>
      <c r="F99" s="50"/>
      <c r="G99" s="50"/>
      <c r="H99" s="50"/>
      <c r="I99" s="50"/>
      <c r="J99" s="50"/>
      <c r="K99" s="588">
        <f xml:space="preserve">   2.4%</f>
        <v>2.4E-2</v>
      </c>
      <c r="L99" s="588">
        <f xml:space="preserve"> 66.4%</f>
        <v>0.66400000000000003</v>
      </c>
      <c r="M99" s="588">
        <f xml:space="preserve"> 68.8%</f>
        <v>0.68799999999999994</v>
      </c>
      <c r="N99" s="50"/>
      <c r="O99" s="50"/>
      <c r="P99" s="50"/>
      <c r="Q99" s="147">
        <v>0.31</v>
      </c>
      <c r="R99" s="520">
        <v>0.16</v>
      </c>
      <c r="S99" s="147">
        <v>0.15</v>
      </c>
      <c r="T99" s="147">
        <v>7.0000000000000007E-2</v>
      </c>
      <c r="U99" s="147">
        <v>0.04</v>
      </c>
      <c r="V99" s="588"/>
      <c r="W99" s="588"/>
      <c r="X99" s="147"/>
      <c r="Y99" s="588"/>
      <c r="Z99" s="588"/>
      <c r="AA99" s="588"/>
      <c r="AB99" s="588"/>
      <c r="AC99" s="588"/>
      <c r="AD99" s="588"/>
      <c r="AE99" s="147"/>
      <c r="AF99" s="588"/>
      <c r="AG99" s="588"/>
      <c r="AH99" s="147">
        <v>0.76</v>
      </c>
      <c r="AI99" s="588">
        <v>0.14199999999999999</v>
      </c>
      <c r="AJ99" s="588">
        <f xml:space="preserve"> 19.2%</f>
        <v>0.192</v>
      </c>
      <c r="AK99" s="588">
        <f xml:space="preserve"> 50.8%</f>
        <v>0.50800000000000001</v>
      </c>
      <c r="AL99" s="588"/>
      <c r="AM99" s="588"/>
      <c r="AY99" s="62"/>
      <c r="AZ99" s="62"/>
      <c r="BD99" s="62"/>
      <c r="BE99" s="62"/>
      <c r="BG99" s="62"/>
      <c r="BH99" s="14"/>
      <c r="BI99" s="62"/>
      <c r="BJ99" s="62"/>
    </row>
    <row r="100" spans="1:63" ht="15" customHeight="1" x14ac:dyDescent="0.3">
      <c r="A100" s="50">
        <v>97</v>
      </c>
      <c r="B100" s="50"/>
      <c r="C100" s="50"/>
      <c r="D100" s="50"/>
      <c r="E100" s="50"/>
      <c r="F100" s="50"/>
      <c r="G100" s="50"/>
      <c r="H100" s="50"/>
      <c r="I100" s="50"/>
      <c r="J100" s="50"/>
      <c r="K100" s="588">
        <f xml:space="preserve">   1.8%</f>
        <v>1.8000000000000002E-2</v>
      </c>
      <c r="L100" s="588">
        <f xml:space="preserve"> 67.3%</f>
        <v>0.67299999999999993</v>
      </c>
      <c r="M100" s="588">
        <f xml:space="preserve"> 69.1%</f>
        <v>0.69099999999999995</v>
      </c>
      <c r="N100" s="50"/>
      <c r="O100" s="50"/>
      <c r="P100" s="50"/>
      <c r="Q100" s="147">
        <f xml:space="preserve"> 32%</f>
        <v>0.32</v>
      </c>
      <c r="R100" s="520">
        <v>0.16</v>
      </c>
      <c r="S100" s="147">
        <v>0.15</v>
      </c>
      <c r="T100" s="147">
        <v>7.0000000000000007E-2</v>
      </c>
      <c r="U100" s="147">
        <v>0.04</v>
      </c>
      <c r="V100" s="588"/>
      <c r="W100" s="588"/>
      <c r="X100" s="147"/>
      <c r="Y100" s="588"/>
      <c r="Z100" s="588"/>
      <c r="AA100" s="588"/>
      <c r="AB100" s="588"/>
      <c r="AC100" s="588"/>
      <c r="AD100" s="588"/>
      <c r="AE100" s="147"/>
      <c r="AF100" s="588"/>
      <c r="AG100" s="588"/>
      <c r="AH100" s="147">
        <v>0.77</v>
      </c>
      <c r="AI100" s="588">
        <v>0.13900000000000001</v>
      </c>
      <c r="AJ100" s="588">
        <f xml:space="preserve"> 19.4%</f>
        <v>0.19399999999999998</v>
      </c>
      <c r="AK100" s="588">
        <f xml:space="preserve"> 50.6%</f>
        <v>0.50600000000000001</v>
      </c>
      <c r="AL100" s="588"/>
      <c r="AM100" s="588"/>
      <c r="AV100" s="95"/>
      <c r="AY100" s="62"/>
      <c r="AZ100" s="62"/>
      <c r="BA100" s="95"/>
      <c r="BD100" s="62"/>
      <c r="BE100" s="62"/>
      <c r="BF100" s="95"/>
      <c r="BG100" s="62"/>
      <c r="BH100" s="14"/>
      <c r="BI100" s="62"/>
      <c r="BJ100" s="62"/>
      <c r="BK100" s="95"/>
    </row>
    <row r="101" spans="1:63" ht="15" customHeight="1" x14ac:dyDescent="0.3">
      <c r="A101" s="50">
        <v>98</v>
      </c>
      <c r="B101" s="50"/>
      <c r="C101" s="50"/>
      <c r="D101" s="50"/>
      <c r="E101" s="50"/>
      <c r="F101" s="50"/>
      <c r="G101" s="50"/>
      <c r="H101" s="50"/>
      <c r="I101" s="50"/>
      <c r="J101" s="50"/>
      <c r="K101" s="588">
        <f xml:space="preserve">   1.2%</f>
        <v>1.2E-2</v>
      </c>
      <c r="L101" s="588">
        <f xml:space="preserve"> 68.2%</f>
        <v>0.68200000000000005</v>
      </c>
      <c r="M101" s="588">
        <f xml:space="preserve"> 69.4%</f>
        <v>0.69400000000000006</v>
      </c>
      <c r="N101" s="50"/>
      <c r="O101" s="50"/>
      <c r="P101" s="50"/>
      <c r="Q101" s="147">
        <f xml:space="preserve"> 32%</f>
        <v>0.32</v>
      </c>
      <c r="R101" s="520">
        <v>0.16</v>
      </c>
      <c r="S101" s="147">
        <v>0.15</v>
      </c>
      <c r="T101" s="147">
        <v>7.0000000000000007E-2</v>
      </c>
      <c r="U101" s="147">
        <v>0.04</v>
      </c>
      <c r="V101" s="588"/>
      <c r="W101" s="588"/>
      <c r="X101" s="147"/>
      <c r="Y101" s="588"/>
      <c r="Z101" s="588"/>
      <c r="AA101" s="588"/>
      <c r="AB101" s="588"/>
      <c r="AC101" s="588"/>
      <c r="AD101" s="588"/>
      <c r="AE101" s="147"/>
      <c r="AF101" s="588"/>
      <c r="AG101" s="588"/>
      <c r="AH101" s="147">
        <v>0.78</v>
      </c>
      <c r="AI101" s="588">
        <v>0.13600000000000001</v>
      </c>
      <c r="AJ101" s="588">
        <f xml:space="preserve"> 19.6%</f>
        <v>0.19600000000000001</v>
      </c>
      <c r="AK101" s="588">
        <f xml:space="preserve"> 50.4%</f>
        <v>0.504</v>
      </c>
      <c r="AL101" s="588"/>
      <c r="AM101" s="588"/>
      <c r="AV101" s="95"/>
      <c r="AY101" s="62"/>
      <c r="AZ101" s="62"/>
      <c r="BA101" s="95"/>
      <c r="BD101" s="62"/>
      <c r="BE101" s="62"/>
      <c r="BF101" s="95"/>
      <c r="BG101" s="62"/>
      <c r="BH101" s="14"/>
      <c r="BI101" s="62"/>
      <c r="BJ101" s="62"/>
      <c r="BK101" s="95"/>
    </row>
    <row r="102" spans="1:63" ht="15" customHeight="1" x14ac:dyDescent="0.3">
      <c r="A102" s="50">
        <v>99</v>
      </c>
      <c r="B102" s="50"/>
      <c r="C102" s="50"/>
      <c r="D102" s="50"/>
      <c r="E102" s="50"/>
      <c r="F102" s="50"/>
      <c r="G102" s="50"/>
      <c r="H102" s="50"/>
      <c r="I102" s="50"/>
      <c r="J102" s="50"/>
      <c r="K102" s="588">
        <f xml:space="preserve">   0.6%</f>
        <v>6.0000000000000001E-3</v>
      </c>
      <c r="L102" s="588">
        <f xml:space="preserve"> 69.1%</f>
        <v>0.69099999999999995</v>
      </c>
      <c r="M102" s="588">
        <f xml:space="preserve"> 69.7%</f>
        <v>0.69700000000000006</v>
      </c>
      <c r="N102" s="50"/>
      <c r="O102" s="50"/>
      <c r="P102" s="50"/>
      <c r="Q102" s="147">
        <f xml:space="preserve"> 32%</f>
        <v>0.32</v>
      </c>
      <c r="R102" s="520">
        <v>0.16</v>
      </c>
      <c r="S102" s="147">
        <v>0.15</v>
      </c>
      <c r="T102" s="147">
        <v>7.0000000000000007E-2</v>
      </c>
      <c r="U102" s="147">
        <v>0.04</v>
      </c>
      <c r="V102" s="588"/>
      <c r="W102" s="588"/>
      <c r="X102" s="147"/>
      <c r="Y102" s="588"/>
      <c r="Z102" s="588"/>
      <c r="AA102" s="588"/>
      <c r="AB102" s="588"/>
      <c r="AC102" s="588"/>
      <c r="AD102" s="588"/>
      <c r="AE102" s="147"/>
      <c r="AF102" s="588"/>
      <c r="AG102" s="588"/>
      <c r="AH102" s="147">
        <v>0.79</v>
      </c>
      <c r="AI102" s="588">
        <v>0.13300000000000001</v>
      </c>
      <c r="AJ102" s="588">
        <f xml:space="preserve"> 19.8%</f>
        <v>0.19800000000000001</v>
      </c>
      <c r="AK102" s="588">
        <f xml:space="preserve"> 50.2%</f>
        <v>0.502</v>
      </c>
      <c r="AL102" s="588"/>
      <c r="AM102" s="588"/>
      <c r="AV102" s="95"/>
      <c r="AY102" s="62"/>
      <c r="AZ102" s="62"/>
      <c r="BA102" s="95"/>
      <c r="BD102" s="62"/>
      <c r="BE102" s="62"/>
      <c r="BF102" s="95"/>
      <c r="BG102" s="62"/>
      <c r="BH102" s="14"/>
      <c r="BI102" s="62"/>
      <c r="BJ102" s="62"/>
      <c r="BK102" s="95"/>
    </row>
    <row r="103" spans="1:63" ht="15" customHeight="1" x14ac:dyDescent="0.3">
      <c r="A103" s="50">
        <v>100</v>
      </c>
      <c r="B103" s="50"/>
      <c r="C103" s="50"/>
      <c r="D103" s="50"/>
      <c r="E103" s="50"/>
      <c r="F103" s="50"/>
      <c r="G103" s="50"/>
      <c r="H103" s="50"/>
      <c r="I103" s="50"/>
      <c r="J103" s="50"/>
      <c r="K103" s="688">
        <v>0</v>
      </c>
      <c r="L103" s="588">
        <f xml:space="preserve"> 70%</f>
        <v>0.7</v>
      </c>
      <c r="M103" s="588">
        <f xml:space="preserve"> 70%</f>
        <v>0.7</v>
      </c>
      <c r="N103" s="50"/>
      <c r="O103" s="50"/>
      <c r="P103" s="50"/>
      <c r="Q103" s="147">
        <f xml:space="preserve"> 32%</f>
        <v>0.32</v>
      </c>
      <c r="R103" s="520">
        <v>0.16</v>
      </c>
      <c r="S103" s="147">
        <v>0.15</v>
      </c>
      <c r="T103" s="147">
        <v>7.0000000000000007E-2</v>
      </c>
      <c r="U103" s="147">
        <v>0.04</v>
      </c>
      <c r="V103" s="588"/>
      <c r="W103" s="588"/>
      <c r="X103" s="147"/>
      <c r="Y103" s="588"/>
      <c r="Z103" s="588"/>
      <c r="AA103" s="588"/>
      <c r="AB103" s="588"/>
      <c r="AC103" s="588"/>
      <c r="AD103" s="588"/>
      <c r="AE103" s="147"/>
      <c r="AF103" s="588"/>
      <c r="AG103" s="588"/>
      <c r="AH103" s="147">
        <f xml:space="preserve">  79%</f>
        <v>0.79</v>
      </c>
      <c r="AI103" s="588">
        <v>0.13</v>
      </c>
      <c r="AJ103" s="588">
        <f xml:space="preserve"> 20%</f>
        <v>0.2</v>
      </c>
      <c r="AK103" s="588">
        <f xml:space="preserve"> 50%</f>
        <v>0.5</v>
      </c>
      <c r="AL103" s="588"/>
      <c r="AM103" s="588"/>
      <c r="AY103" s="62"/>
      <c r="AZ103" s="62"/>
      <c r="BD103" s="62"/>
      <c r="BE103" s="62"/>
      <c r="BG103" s="62"/>
      <c r="BH103" s="14"/>
      <c r="BI103" s="62"/>
      <c r="BJ103" s="62"/>
    </row>
    <row r="104" spans="1:63" ht="15" customHeight="1" x14ac:dyDescent="0.3">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c r="X104" s="147"/>
      <c r="Y104" s="588"/>
      <c r="Z104" s="588"/>
      <c r="AA104" s="588"/>
      <c r="AB104" s="588"/>
      <c r="AC104" s="588"/>
      <c r="AD104" s="588"/>
      <c r="AE104" s="147"/>
      <c r="AF104" s="588"/>
      <c r="AG104" s="588"/>
      <c r="AH104" s="147"/>
      <c r="AI104" s="588">
        <v>0.127</v>
      </c>
      <c r="AJ104" s="588">
        <f xml:space="preserve"> 20.2%</f>
        <v>0.20199999999999999</v>
      </c>
      <c r="AK104" s="588">
        <f xml:space="preserve"> 50.9%</f>
        <v>0.50900000000000001</v>
      </c>
      <c r="AL104" s="588"/>
      <c r="AM104" s="588"/>
      <c r="AY104" s="62"/>
      <c r="AZ104" s="62"/>
      <c r="BD104" s="62"/>
      <c r="BE104" s="62"/>
      <c r="BG104" s="62"/>
      <c r="BH104" s="14"/>
      <c r="BI104" s="62"/>
      <c r="BJ104" s="62"/>
    </row>
    <row r="105" spans="1:63" ht="15" customHeight="1" x14ac:dyDescent="0.3">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c r="X105" s="147"/>
      <c r="Y105" s="588"/>
      <c r="Z105" s="588"/>
      <c r="AA105" s="588"/>
      <c r="AB105" s="588"/>
      <c r="AC105" s="588"/>
      <c r="AD105" s="588"/>
      <c r="AE105" s="147"/>
      <c r="AF105" s="588"/>
      <c r="AG105" s="588"/>
      <c r="AH105" s="147"/>
      <c r="AI105" s="588">
        <v>0.124</v>
      </c>
      <c r="AJ105" s="588">
        <f xml:space="preserve"> 20.4%</f>
        <v>0.20399999999999999</v>
      </c>
      <c r="AK105" s="588">
        <f xml:space="preserve"> 51.8%</f>
        <v>0.51800000000000002</v>
      </c>
      <c r="AL105" s="588"/>
      <c r="AM105" s="588"/>
      <c r="AV105" s="95"/>
      <c r="AY105" s="62"/>
      <c r="AZ105" s="62"/>
      <c r="BA105" s="95"/>
      <c r="BD105" s="62"/>
      <c r="BE105" s="62"/>
      <c r="BF105" s="95"/>
      <c r="BG105" s="62"/>
      <c r="BH105" s="14"/>
      <c r="BI105" s="62"/>
      <c r="BJ105" s="62"/>
      <c r="BK105" s="95"/>
    </row>
    <row r="106" spans="1:63" ht="15" customHeight="1" x14ac:dyDescent="0.3">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c r="X106" s="147"/>
      <c r="Y106" s="588"/>
      <c r="Z106" s="588"/>
      <c r="AA106" s="588"/>
      <c r="AB106" s="588"/>
      <c r="AC106" s="588"/>
      <c r="AD106" s="588"/>
      <c r="AE106" s="147"/>
      <c r="AF106" s="588"/>
      <c r="AG106" s="588"/>
      <c r="AH106" s="147"/>
      <c r="AI106" s="588">
        <v>0.121</v>
      </c>
      <c r="AJ106" s="588">
        <f xml:space="preserve"> 20.6%</f>
        <v>0.20600000000000002</v>
      </c>
      <c r="AK106" s="588">
        <f xml:space="preserve"> 52.7%</f>
        <v>0.52700000000000002</v>
      </c>
      <c r="AL106" s="588"/>
      <c r="AM106" s="588"/>
      <c r="AV106" s="95"/>
      <c r="AY106" s="62"/>
      <c r="AZ106" s="62"/>
      <c r="BA106" s="95"/>
      <c r="BD106" s="62"/>
      <c r="BE106" s="62"/>
      <c r="BF106" s="95"/>
      <c r="BG106" s="62"/>
      <c r="BH106" s="14"/>
      <c r="BI106" s="62"/>
      <c r="BJ106" s="62"/>
      <c r="BK106" s="95"/>
    </row>
    <row r="107" spans="1:63" ht="15" customHeight="1" x14ac:dyDescent="0.3">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c r="X107" s="147"/>
      <c r="Y107" s="588"/>
      <c r="Z107" s="588"/>
      <c r="AA107" s="588"/>
      <c r="AB107" s="588"/>
      <c r="AC107" s="588"/>
      <c r="AD107" s="588"/>
      <c r="AE107" s="147"/>
      <c r="AF107" s="588"/>
      <c r="AG107" s="588"/>
      <c r="AH107" s="147"/>
      <c r="AI107" s="588">
        <v>0.11799999999999999</v>
      </c>
      <c r="AJ107" s="588">
        <f xml:space="preserve"> 20.8%</f>
        <v>0.20800000000000002</v>
      </c>
      <c r="AK107" s="588">
        <f xml:space="preserve"> 53.6%</f>
        <v>0.53600000000000003</v>
      </c>
      <c r="AL107" s="588"/>
      <c r="AM107" s="588"/>
      <c r="AV107" s="95"/>
      <c r="AY107" s="62"/>
      <c r="AZ107" s="62"/>
      <c r="BA107" s="95"/>
      <c r="BD107" s="62"/>
      <c r="BE107" s="62"/>
      <c r="BF107" s="95"/>
      <c r="BG107" s="62"/>
      <c r="BH107" s="14"/>
      <c r="BI107" s="62"/>
      <c r="BJ107" s="62"/>
      <c r="BK107" s="95"/>
    </row>
    <row r="108" spans="1:63" ht="15" customHeight="1" x14ac:dyDescent="0.3">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c r="X108" s="147"/>
      <c r="Y108" s="588"/>
      <c r="Z108" s="588"/>
      <c r="AA108" s="588"/>
      <c r="AB108" s="588"/>
      <c r="AC108" s="588"/>
      <c r="AD108" s="588"/>
      <c r="AE108" s="147"/>
      <c r="AF108" s="588"/>
      <c r="AG108" s="588"/>
      <c r="AH108" s="147"/>
      <c r="AI108" s="588">
        <v>0.115</v>
      </c>
      <c r="AJ108" s="588">
        <f xml:space="preserve"> 21%</f>
        <v>0.21</v>
      </c>
      <c r="AK108" s="588">
        <f xml:space="preserve"> 54.5%</f>
        <v>0.54500000000000004</v>
      </c>
      <c r="AL108" s="588"/>
      <c r="AM108" s="588"/>
      <c r="AY108" s="62"/>
      <c r="AZ108" s="62"/>
      <c r="BD108" s="62"/>
      <c r="BE108" s="62"/>
      <c r="BG108" s="62"/>
      <c r="BH108" s="14"/>
      <c r="BI108" s="62"/>
      <c r="BJ108" s="62"/>
    </row>
    <row r="109" spans="1:63" ht="15" customHeight="1" x14ac:dyDescent="0.3">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c r="X109" s="147"/>
      <c r="Y109" s="588"/>
      <c r="Z109" s="588"/>
      <c r="AA109" s="588"/>
      <c r="AB109" s="588"/>
      <c r="AC109" s="588"/>
      <c r="AD109" s="588"/>
      <c r="AE109" s="147"/>
      <c r="AF109" s="588"/>
      <c r="AG109" s="588"/>
      <c r="AH109" s="147"/>
      <c r="AI109" s="588">
        <v>0.112</v>
      </c>
      <c r="AJ109" s="588">
        <f xml:space="preserve"> 21.2%</f>
        <v>0.21199999999999999</v>
      </c>
      <c r="AK109" s="588">
        <f xml:space="preserve"> 55.4%</f>
        <v>0.55399999999999994</v>
      </c>
      <c r="AL109" s="588"/>
      <c r="AM109" s="588"/>
      <c r="AY109" s="62"/>
      <c r="AZ109" s="62"/>
      <c r="BD109" s="62"/>
      <c r="BE109" s="62"/>
      <c r="BG109" s="62"/>
      <c r="BH109" s="14"/>
      <c r="BI109" s="62"/>
      <c r="BJ109" s="62"/>
    </row>
    <row r="110" spans="1:63" ht="15" customHeight="1" x14ac:dyDescent="0.3">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c r="X110" s="147"/>
      <c r="Y110" s="588"/>
      <c r="Z110" s="588"/>
      <c r="AA110" s="588"/>
      <c r="AB110" s="588"/>
      <c r="AC110" s="588"/>
      <c r="AD110" s="588"/>
      <c r="AE110" s="147"/>
      <c r="AF110" s="588"/>
      <c r="AG110" s="588"/>
      <c r="AH110" s="147"/>
      <c r="AI110" s="588">
        <v>0.109</v>
      </c>
      <c r="AJ110" s="588">
        <f xml:space="preserve"> 21.4%</f>
        <v>0.214</v>
      </c>
      <c r="AK110" s="588">
        <f xml:space="preserve"> 56.3%</f>
        <v>0.56299999999999994</v>
      </c>
      <c r="AL110" s="588"/>
      <c r="AM110" s="588"/>
      <c r="AV110" s="95"/>
      <c r="AY110" s="62"/>
      <c r="AZ110" s="62"/>
      <c r="BA110" s="95"/>
      <c r="BD110" s="62"/>
      <c r="BE110" s="62"/>
      <c r="BF110" s="95"/>
      <c r="BG110" s="62"/>
      <c r="BH110" s="14"/>
      <c r="BI110" s="62"/>
      <c r="BJ110" s="62"/>
      <c r="BK110" s="95"/>
    </row>
    <row r="111" spans="1:63" ht="15" customHeight="1" x14ac:dyDescent="0.3">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c r="X111" s="147"/>
      <c r="Y111" s="588"/>
      <c r="Z111" s="588"/>
      <c r="AA111" s="588"/>
      <c r="AB111" s="588"/>
      <c r="AC111" s="588"/>
      <c r="AD111" s="588"/>
      <c r="AE111" s="147"/>
      <c r="AF111" s="588"/>
      <c r="AG111" s="588"/>
      <c r="AH111" s="147"/>
      <c r="AI111" s="588">
        <v>0.106</v>
      </c>
      <c r="AJ111" s="588">
        <f xml:space="preserve"> 21.6%</f>
        <v>0.21600000000000003</v>
      </c>
      <c r="AK111" s="588">
        <f xml:space="preserve"> 57.2%</f>
        <v>0.57200000000000006</v>
      </c>
      <c r="AL111" s="588"/>
      <c r="AM111" s="588"/>
      <c r="AV111" s="95"/>
      <c r="AY111" s="62"/>
      <c r="AZ111" s="62"/>
      <c r="BA111" s="95"/>
      <c r="BD111" s="62"/>
      <c r="BE111" s="62"/>
      <c r="BF111" s="95"/>
      <c r="BG111" s="62"/>
      <c r="BH111" s="14"/>
      <c r="BI111" s="62"/>
      <c r="BJ111" s="62"/>
      <c r="BK111" s="95"/>
    </row>
    <row r="112" spans="1:63" ht="15" customHeight="1" x14ac:dyDescent="0.3">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c r="X112" s="147"/>
      <c r="Y112" s="588"/>
      <c r="Z112" s="588"/>
      <c r="AA112" s="588"/>
      <c r="AB112" s="588"/>
      <c r="AC112" s="588"/>
      <c r="AD112" s="588"/>
      <c r="AE112" s="147"/>
      <c r="AF112" s="588"/>
      <c r="AG112" s="588"/>
      <c r="AH112" s="147"/>
      <c r="AI112" s="588">
        <v>0.10299999999999999</v>
      </c>
      <c r="AJ112" s="588">
        <f xml:space="preserve"> 21.8%</f>
        <v>0.218</v>
      </c>
      <c r="AK112" s="588">
        <f xml:space="preserve"> 58.1%</f>
        <v>0.58099999999999996</v>
      </c>
      <c r="AL112" s="588"/>
      <c r="AM112" s="588"/>
      <c r="AV112" s="95"/>
      <c r="AY112" s="62"/>
      <c r="AZ112" s="62"/>
      <c r="BA112" s="95"/>
      <c r="BD112" s="62"/>
      <c r="BE112" s="62"/>
      <c r="BF112" s="95"/>
      <c r="BG112" s="62"/>
      <c r="BH112" s="14"/>
      <c r="BI112" s="62"/>
      <c r="BJ112" s="62"/>
      <c r="BK112" s="95"/>
    </row>
    <row r="113" spans="1:63" ht="15" customHeight="1" x14ac:dyDescent="0.3">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c r="X113" s="147"/>
      <c r="Y113" s="588"/>
      <c r="Z113" s="588"/>
      <c r="AA113" s="588"/>
      <c r="AB113" s="588"/>
      <c r="AC113" s="588"/>
      <c r="AD113" s="588"/>
      <c r="AE113" s="147"/>
      <c r="AF113" s="588"/>
      <c r="AG113" s="588"/>
      <c r="AH113" s="147"/>
      <c r="AI113" s="588">
        <v>0.1</v>
      </c>
      <c r="AJ113" s="588">
        <f xml:space="preserve"> 22%</f>
        <v>0.22</v>
      </c>
      <c r="AK113" s="588">
        <f xml:space="preserve"> 59%</f>
        <v>0.59</v>
      </c>
      <c r="AL113" s="588"/>
      <c r="AM113" s="588"/>
      <c r="AY113" s="62"/>
      <c r="AZ113" s="62"/>
      <c r="BD113" s="62"/>
      <c r="BE113" s="62"/>
      <c r="BG113" s="62"/>
      <c r="BH113" s="14"/>
      <c r="BI113" s="62"/>
      <c r="BJ113" s="62"/>
    </row>
    <row r="114" spans="1:63" ht="15" customHeight="1" x14ac:dyDescent="0.3">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c r="X114" s="147"/>
      <c r="Y114" s="588"/>
      <c r="Z114" s="588"/>
      <c r="AA114" s="588"/>
      <c r="AB114" s="588"/>
      <c r="AC114" s="588"/>
      <c r="AD114" s="588"/>
      <c r="AE114" s="147"/>
      <c r="AF114" s="588"/>
      <c r="AG114" s="588"/>
      <c r="AH114" s="147"/>
      <c r="AI114" s="588">
        <v>9.8000000000000004E-2</v>
      </c>
      <c r="AJ114" s="588">
        <f xml:space="preserve"> 22.2%</f>
        <v>0.222</v>
      </c>
      <c r="AK114" s="588">
        <f xml:space="preserve"> 59.9%</f>
        <v>0.59899999999999998</v>
      </c>
      <c r="AL114" s="588"/>
      <c r="AM114" s="588"/>
      <c r="AY114" s="62"/>
      <c r="AZ114" s="62"/>
      <c r="BD114" s="62"/>
      <c r="BE114" s="62"/>
      <c r="BG114" s="62"/>
      <c r="BH114" s="14"/>
      <c r="BI114" s="62"/>
      <c r="BJ114" s="62"/>
    </row>
    <row r="115" spans="1:63" ht="15" customHeight="1" x14ac:dyDescent="0.3">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c r="X115" s="147"/>
      <c r="Y115" s="588"/>
      <c r="Z115" s="588"/>
      <c r="AA115" s="588"/>
      <c r="AB115" s="588"/>
      <c r="AC115" s="588"/>
      <c r="AD115" s="588"/>
      <c r="AE115" s="147"/>
      <c r="AF115" s="588"/>
      <c r="AG115" s="588"/>
      <c r="AH115" s="147"/>
      <c r="AI115" s="588">
        <v>9.6000000000000002E-2</v>
      </c>
      <c r="AJ115" s="588">
        <f xml:space="preserve"> 22.4%</f>
        <v>0.22399999999999998</v>
      </c>
      <c r="AK115" s="588">
        <f xml:space="preserve"> 60.8%</f>
        <v>0.60799999999999998</v>
      </c>
      <c r="AL115" s="588"/>
      <c r="AM115" s="588"/>
      <c r="AV115" s="95"/>
      <c r="AY115" s="62"/>
      <c r="AZ115" s="62"/>
      <c r="BA115" s="95"/>
      <c r="BD115" s="62"/>
      <c r="BE115" s="62"/>
      <c r="BF115" s="95"/>
      <c r="BG115" s="62"/>
      <c r="BH115" s="14"/>
      <c r="BI115" s="62"/>
      <c r="BJ115" s="62"/>
      <c r="BK115" s="95"/>
    </row>
    <row r="116" spans="1:63" ht="15" customHeight="1" x14ac:dyDescent="0.3">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c r="X116" s="147"/>
      <c r="Y116" s="588"/>
      <c r="Z116" s="588"/>
      <c r="AA116" s="588"/>
      <c r="AB116" s="588"/>
      <c r="AC116" s="588"/>
      <c r="AD116" s="588"/>
      <c r="AE116" s="147"/>
      <c r="AF116" s="588"/>
      <c r="AG116" s="588"/>
      <c r="AH116" s="147"/>
      <c r="AI116" s="588">
        <v>9.4E-2</v>
      </c>
      <c r="AJ116" s="588">
        <f xml:space="preserve"> 22.6%</f>
        <v>0.22600000000000001</v>
      </c>
      <c r="AK116" s="588">
        <f xml:space="preserve"> 61.7%</f>
        <v>0.61699999999999999</v>
      </c>
      <c r="AL116" s="588"/>
      <c r="AM116" s="588"/>
      <c r="AV116" s="95"/>
      <c r="AY116" s="62"/>
      <c r="AZ116" s="62"/>
      <c r="BA116" s="95"/>
      <c r="BD116" s="62"/>
      <c r="BE116" s="62"/>
      <c r="BF116" s="95"/>
      <c r="BG116" s="62"/>
      <c r="BH116" s="14"/>
      <c r="BI116" s="62"/>
      <c r="BJ116" s="62"/>
      <c r="BK116" s="95"/>
    </row>
    <row r="117" spans="1:63" ht="15" customHeight="1" x14ac:dyDescent="0.3">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c r="X117" s="147"/>
      <c r="Y117" s="588"/>
      <c r="Z117" s="588"/>
      <c r="AA117" s="588"/>
      <c r="AB117" s="588"/>
      <c r="AC117" s="588"/>
      <c r="AD117" s="588"/>
      <c r="AE117" s="147"/>
      <c r="AF117" s="588"/>
      <c r="AG117" s="588"/>
      <c r="AH117" s="147"/>
      <c r="AI117" s="588">
        <v>9.1999999999999998E-2</v>
      </c>
      <c r="AJ117" s="588">
        <f xml:space="preserve"> 22.8%</f>
        <v>0.22800000000000001</v>
      </c>
      <c r="AK117" s="588">
        <f xml:space="preserve"> 62.6%</f>
        <v>0.626</v>
      </c>
      <c r="AL117" s="588"/>
      <c r="AM117" s="588"/>
      <c r="AV117" s="95"/>
      <c r="AY117" s="62"/>
      <c r="AZ117" s="62"/>
      <c r="BA117" s="95"/>
      <c r="BD117" s="62"/>
      <c r="BE117" s="62"/>
      <c r="BF117" s="95"/>
      <c r="BG117" s="62"/>
      <c r="BH117" s="14"/>
      <c r="BI117" s="62"/>
      <c r="BJ117" s="62"/>
      <c r="BK117" s="95"/>
    </row>
    <row r="118" spans="1:63" ht="15" customHeight="1" x14ac:dyDescent="0.3">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c r="X118" s="147"/>
      <c r="Y118" s="588"/>
      <c r="Z118" s="588"/>
      <c r="AA118" s="588"/>
      <c r="AB118" s="588"/>
      <c r="AC118" s="588"/>
      <c r="AD118" s="588"/>
      <c r="AE118" s="147"/>
      <c r="AF118" s="588"/>
      <c r="AG118" s="588"/>
      <c r="AH118" s="147"/>
      <c r="AI118" s="588">
        <v>0.09</v>
      </c>
      <c r="AJ118" s="588">
        <f xml:space="preserve"> 23%</f>
        <v>0.23</v>
      </c>
      <c r="AK118" s="588">
        <f xml:space="preserve"> 63.5%</f>
        <v>0.63500000000000001</v>
      </c>
      <c r="AL118" s="588"/>
      <c r="AM118" s="588"/>
      <c r="AY118" s="62"/>
      <c r="AZ118" s="62"/>
      <c r="BD118" s="62"/>
      <c r="BE118" s="62"/>
      <c r="BG118" s="62"/>
      <c r="BH118" s="14"/>
      <c r="BI118" s="62"/>
      <c r="BJ118" s="62"/>
    </row>
    <row r="119" spans="1:63" ht="15" customHeight="1" x14ac:dyDescent="0.3">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c r="X119" s="147"/>
      <c r="Y119" s="588"/>
      <c r="Z119" s="588"/>
      <c r="AA119" s="588"/>
      <c r="AB119" s="588"/>
      <c r="AC119" s="588"/>
      <c r="AD119" s="588"/>
      <c r="AE119" s="147"/>
      <c r="AF119" s="588"/>
      <c r="AG119" s="588"/>
      <c r="AH119" s="147"/>
      <c r="AI119" s="588">
        <v>8.7999999999999995E-2</v>
      </c>
      <c r="AJ119" s="588">
        <f xml:space="preserve"> 23.2%</f>
        <v>0.23199999999999998</v>
      </c>
      <c r="AK119" s="588">
        <f xml:space="preserve"> 64.4%</f>
        <v>0.64400000000000002</v>
      </c>
      <c r="AL119" s="588"/>
      <c r="AM119" s="588"/>
      <c r="AY119" s="62"/>
      <c r="AZ119" s="62"/>
      <c r="BD119" s="62"/>
      <c r="BE119" s="62"/>
      <c r="BG119" s="62"/>
      <c r="BH119" s="14"/>
      <c r="BI119" s="62"/>
      <c r="BJ119" s="62"/>
    </row>
    <row r="120" spans="1:63" ht="15" customHeight="1" x14ac:dyDescent="0.3">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c r="X120" s="147"/>
      <c r="Y120" s="588"/>
      <c r="Z120" s="588"/>
      <c r="AA120" s="588"/>
      <c r="AB120" s="588"/>
      <c r="AC120" s="588"/>
      <c r="AD120" s="588"/>
      <c r="AE120" s="147"/>
      <c r="AF120" s="588"/>
      <c r="AG120" s="588"/>
      <c r="AH120" s="147"/>
      <c r="AI120" s="588">
        <v>8.5999999999999993E-2</v>
      </c>
      <c r="AJ120" s="588">
        <f xml:space="preserve"> 23.4%</f>
        <v>0.23399999999999999</v>
      </c>
      <c r="AK120" s="588">
        <f xml:space="preserve"> 65.3%</f>
        <v>0.65300000000000002</v>
      </c>
      <c r="AL120" s="588"/>
      <c r="AM120" s="588"/>
      <c r="AV120" s="95"/>
      <c r="AY120" s="62"/>
      <c r="AZ120" s="62"/>
      <c r="BA120" s="95"/>
      <c r="BD120" s="62"/>
      <c r="BE120" s="62"/>
      <c r="BF120" s="95"/>
      <c r="BG120" s="62"/>
      <c r="BH120" s="14"/>
      <c r="BI120" s="62"/>
      <c r="BJ120" s="62"/>
      <c r="BK120" s="95"/>
    </row>
    <row r="121" spans="1:63" ht="15" customHeight="1" x14ac:dyDescent="0.3">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c r="X121" s="147"/>
      <c r="Y121" s="588"/>
      <c r="Z121" s="588"/>
      <c r="AA121" s="588"/>
      <c r="AB121" s="588"/>
      <c r="AC121" s="588"/>
      <c r="AD121" s="588"/>
      <c r="AE121" s="147"/>
      <c r="AF121" s="588"/>
      <c r="AG121" s="588"/>
      <c r="AH121" s="147"/>
      <c r="AI121" s="588">
        <v>8.4000000000000005E-2</v>
      </c>
      <c r="AJ121" s="588">
        <f xml:space="preserve"> 23.6%</f>
        <v>0.23600000000000002</v>
      </c>
      <c r="AK121" s="588">
        <f xml:space="preserve"> 66.2%</f>
        <v>0.66200000000000003</v>
      </c>
      <c r="AL121" s="588"/>
      <c r="AM121" s="588"/>
      <c r="AV121" s="95"/>
      <c r="AY121" s="62"/>
      <c r="AZ121" s="62"/>
      <c r="BA121" s="95"/>
      <c r="BD121" s="62"/>
      <c r="BE121" s="62"/>
      <c r="BF121" s="95"/>
      <c r="BG121" s="62"/>
      <c r="BH121" s="14"/>
      <c r="BI121" s="62"/>
      <c r="BJ121" s="62"/>
      <c r="BK121" s="95"/>
    </row>
    <row r="122" spans="1:63" ht="15" customHeight="1" x14ac:dyDescent="0.3">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c r="X122" s="147"/>
      <c r="Y122" s="588"/>
      <c r="Z122" s="588"/>
      <c r="AA122" s="588"/>
      <c r="AB122" s="588"/>
      <c r="AC122" s="588"/>
      <c r="AD122" s="588"/>
      <c r="AE122" s="147"/>
      <c r="AF122" s="588"/>
      <c r="AG122" s="588"/>
      <c r="AH122" s="147"/>
      <c r="AI122" s="588">
        <v>8.2000000000000003E-2</v>
      </c>
      <c r="AJ122" s="588">
        <f xml:space="preserve"> 23.8%</f>
        <v>0.23800000000000002</v>
      </c>
      <c r="AK122" s="588">
        <f xml:space="preserve"> 67.1%</f>
        <v>0.67099999999999993</v>
      </c>
      <c r="AL122" s="588"/>
      <c r="AM122" s="588"/>
      <c r="AV122" s="95"/>
      <c r="AY122" s="62"/>
      <c r="AZ122" s="62"/>
      <c r="BA122" s="95"/>
      <c r="BD122" s="62"/>
      <c r="BE122" s="62"/>
      <c r="BF122" s="95"/>
      <c r="BG122" s="62"/>
      <c r="BH122" s="14"/>
      <c r="BI122" s="62"/>
      <c r="BJ122" s="62"/>
      <c r="BK122" s="95"/>
    </row>
    <row r="123" spans="1:63" ht="15" customHeight="1" x14ac:dyDescent="0.3">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c r="X123" s="147"/>
      <c r="Y123" s="588"/>
      <c r="Z123" s="588"/>
      <c r="AA123" s="588"/>
      <c r="AB123" s="588"/>
      <c r="AC123" s="588"/>
      <c r="AD123" s="588"/>
      <c r="AE123" s="147"/>
      <c r="AF123" s="588"/>
      <c r="AG123" s="588"/>
      <c r="AH123" s="147"/>
      <c r="AI123" s="588">
        <v>0.08</v>
      </c>
      <c r="AJ123" s="588">
        <f xml:space="preserve"> 24%</f>
        <v>0.24</v>
      </c>
      <c r="AK123" s="588">
        <f xml:space="preserve"> 68%</f>
        <v>0.68</v>
      </c>
      <c r="AL123" s="588"/>
      <c r="AM123" s="588"/>
      <c r="AY123" s="62"/>
      <c r="AZ123" s="62"/>
      <c r="BD123" s="62"/>
      <c r="BE123" s="62"/>
      <c r="BG123" s="62"/>
      <c r="BH123" s="14"/>
      <c r="BI123" s="62"/>
      <c r="BJ123" s="62"/>
    </row>
    <row r="124" spans="1:63" ht="15" customHeight="1" x14ac:dyDescent="0.3">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c r="X124" s="147"/>
      <c r="Y124" s="588"/>
      <c r="Z124" s="588"/>
      <c r="AA124" s="588"/>
      <c r="AB124" s="588"/>
      <c r="AC124" s="588"/>
      <c r="AD124" s="588"/>
      <c r="AE124" s="147"/>
      <c r="AF124" s="588"/>
      <c r="AG124" s="588"/>
      <c r="AH124" s="147"/>
      <c r="AI124" s="588">
        <v>7.6999999999999999E-2</v>
      </c>
      <c r="AJ124" s="588">
        <f xml:space="preserve"> 24.2%</f>
        <v>0.24199999999999999</v>
      </c>
      <c r="AK124" s="588">
        <f xml:space="preserve"> 68.9%</f>
        <v>0.68900000000000006</v>
      </c>
      <c r="AL124" s="588"/>
      <c r="AM124" s="588"/>
      <c r="AY124" s="62"/>
      <c r="AZ124" s="62"/>
      <c r="BD124" s="62"/>
      <c r="BE124" s="62"/>
      <c r="BG124" s="62"/>
      <c r="BH124" s="14"/>
      <c r="BI124" s="62"/>
      <c r="BJ124" s="62"/>
    </row>
    <row r="125" spans="1:63" ht="15" customHeight="1" x14ac:dyDescent="0.3">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c r="X125" s="147"/>
      <c r="Y125" s="588"/>
      <c r="Z125" s="588"/>
      <c r="AA125" s="588"/>
      <c r="AB125" s="588"/>
      <c r="AC125" s="588"/>
      <c r="AD125" s="588"/>
      <c r="AE125" s="147"/>
      <c r="AF125" s="588"/>
      <c r="AG125" s="588"/>
      <c r="AH125" s="147"/>
      <c r="AI125" s="588">
        <v>7.3999999999999996E-2</v>
      </c>
      <c r="AJ125" s="588">
        <f xml:space="preserve"> 24.4%</f>
        <v>0.24399999999999999</v>
      </c>
      <c r="AK125" s="588">
        <f xml:space="preserve"> 79.8%</f>
        <v>0.79799999999999993</v>
      </c>
      <c r="AL125" s="588"/>
      <c r="AM125" s="588"/>
      <c r="AV125" s="95"/>
      <c r="AY125" s="62"/>
      <c r="AZ125" s="62"/>
      <c r="BA125" s="95"/>
      <c r="BD125" s="62"/>
      <c r="BE125" s="62"/>
      <c r="BF125" s="95"/>
      <c r="BG125" s="62"/>
      <c r="BH125" s="14"/>
      <c r="BI125" s="62"/>
      <c r="BJ125" s="62"/>
      <c r="BK125" s="95"/>
    </row>
    <row r="126" spans="1:63" ht="15" customHeight="1" x14ac:dyDescent="0.3">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c r="X126" s="147"/>
      <c r="Y126" s="588"/>
      <c r="Z126" s="588"/>
      <c r="AA126" s="588"/>
      <c r="AB126" s="588"/>
      <c r="AC126" s="588"/>
      <c r="AD126" s="588"/>
      <c r="AE126" s="147"/>
      <c r="AF126" s="588"/>
      <c r="AG126" s="588"/>
      <c r="AH126" s="147"/>
      <c r="AI126" s="588">
        <v>7.0999999999999994E-2</v>
      </c>
      <c r="AJ126" s="588">
        <f xml:space="preserve"> 24.6%</f>
        <v>0.24600000000000002</v>
      </c>
      <c r="AK126" s="588">
        <f xml:space="preserve"> 70.7%</f>
        <v>0.70700000000000007</v>
      </c>
      <c r="AL126" s="588"/>
      <c r="AM126" s="588"/>
      <c r="AV126" s="95"/>
      <c r="AY126" s="62"/>
      <c r="AZ126" s="62"/>
      <c r="BA126" s="95"/>
      <c r="BD126" s="62"/>
      <c r="BE126" s="62"/>
      <c r="BF126" s="95"/>
      <c r="BG126" s="62"/>
      <c r="BH126" s="14"/>
      <c r="BI126" s="62"/>
      <c r="BJ126" s="62"/>
      <c r="BK126" s="95"/>
    </row>
    <row r="127" spans="1:63" ht="15" customHeight="1" x14ac:dyDescent="0.3">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c r="X127" s="147"/>
      <c r="Y127" s="588"/>
      <c r="Z127" s="588"/>
      <c r="AA127" s="588"/>
      <c r="AB127" s="588"/>
      <c r="AC127" s="588"/>
      <c r="AD127" s="588"/>
      <c r="AE127" s="147"/>
      <c r="AF127" s="588"/>
      <c r="AG127" s="588"/>
      <c r="AH127" s="147"/>
      <c r="AI127" s="588">
        <v>6.8000000000000005E-2</v>
      </c>
      <c r="AJ127" s="588">
        <f xml:space="preserve"> 24.8%</f>
        <v>0.248</v>
      </c>
      <c r="AK127" s="588">
        <f xml:space="preserve"> 71.6%</f>
        <v>0.71599999999999997</v>
      </c>
      <c r="AL127" s="588"/>
      <c r="AM127" s="588"/>
      <c r="AV127" s="95"/>
      <c r="AY127" s="62"/>
      <c r="AZ127" s="62"/>
      <c r="BA127" s="95"/>
      <c r="BD127" s="62"/>
      <c r="BE127" s="62"/>
      <c r="BF127" s="95"/>
      <c r="BG127" s="62"/>
      <c r="BH127" s="14"/>
      <c r="BI127" s="62"/>
      <c r="BJ127" s="62"/>
      <c r="BK127" s="95"/>
    </row>
    <row r="128" spans="1:63" ht="15" customHeight="1" x14ac:dyDescent="0.3">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c r="X128" s="147"/>
      <c r="Y128" s="588"/>
      <c r="Z128" s="588"/>
      <c r="AA128" s="588"/>
      <c r="AB128" s="588"/>
      <c r="AC128" s="588"/>
      <c r="AD128" s="588"/>
      <c r="AE128" s="147"/>
      <c r="AF128" s="588"/>
      <c r="AG128" s="588"/>
      <c r="AH128" s="147"/>
      <c r="AI128" s="588">
        <v>6.5000000000000002E-2</v>
      </c>
      <c r="AJ128" s="588">
        <f xml:space="preserve"> 25%</f>
        <v>0.25</v>
      </c>
      <c r="AK128" s="588">
        <f xml:space="preserve"> 72.5%</f>
        <v>0.72499999999999998</v>
      </c>
      <c r="AL128" s="588"/>
      <c r="AM128" s="588"/>
      <c r="AY128" s="62"/>
      <c r="AZ128" s="62"/>
      <c r="BD128" s="62"/>
      <c r="BE128" s="62"/>
      <c r="BG128" s="62"/>
      <c r="BH128" s="14"/>
      <c r="BI128" s="62"/>
      <c r="BJ128" s="62"/>
    </row>
    <row r="129" spans="1:63" ht="15" customHeight="1" x14ac:dyDescent="0.3">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c r="X129" s="147"/>
      <c r="Y129" s="588"/>
      <c r="Z129" s="588"/>
      <c r="AA129" s="588"/>
      <c r="AB129" s="588"/>
      <c r="AC129" s="588"/>
      <c r="AD129" s="588"/>
      <c r="AE129" s="147"/>
      <c r="AF129" s="588"/>
      <c r="AG129" s="588"/>
      <c r="AH129" s="147"/>
      <c r="AI129" s="588">
        <v>6.2E-2</v>
      </c>
      <c r="AJ129" s="588">
        <f xml:space="preserve"> 25.2%</f>
        <v>0.252</v>
      </c>
      <c r="AK129" s="588">
        <f xml:space="preserve"> 73.4%</f>
        <v>0.7340000000000001</v>
      </c>
      <c r="AL129" s="588"/>
      <c r="AM129" s="588"/>
      <c r="AY129" s="62"/>
      <c r="AZ129" s="62"/>
      <c r="BD129" s="62"/>
      <c r="BE129" s="62"/>
      <c r="BG129" s="62"/>
      <c r="BH129" s="14"/>
      <c r="BI129" s="62"/>
      <c r="BJ129" s="62"/>
    </row>
    <row r="130" spans="1:63" ht="15" customHeight="1" x14ac:dyDescent="0.3">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c r="X130" s="147"/>
      <c r="Y130" s="588"/>
      <c r="Z130" s="588"/>
      <c r="AA130" s="588"/>
      <c r="AB130" s="588"/>
      <c r="AC130" s="588"/>
      <c r="AD130" s="588"/>
      <c r="AE130" s="147"/>
      <c r="AF130" s="588"/>
      <c r="AG130" s="588"/>
      <c r="AH130" s="147"/>
      <c r="AI130" s="588">
        <v>5.8999999999999997E-2</v>
      </c>
      <c r="AJ130" s="588">
        <f xml:space="preserve"> 25.4%</f>
        <v>0.254</v>
      </c>
      <c r="AK130" s="588">
        <f xml:space="preserve"> 74.3%</f>
        <v>0.74299999999999999</v>
      </c>
      <c r="AL130" s="588"/>
      <c r="AM130" s="588"/>
      <c r="AV130" s="95"/>
      <c r="AY130" s="62"/>
      <c r="AZ130" s="62"/>
      <c r="BA130" s="95"/>
      <c r="BD130" s="62"/>
      <c r="BE130" s="62"/>
      <c r="BF130" s="95"/>
      <c r="BG130" s="62"/>
      <c r="BH130" s="14"/>
      <c r="BI130" s="62"/>
      <c r="BJ130" s="62"/>
      <c r="BK130" s="95"/>
    </row>
    <row r="131" spans="1:63" ht="15" customHeight="1" x14ac:dyDescent="0.3">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c r="X131" s="147"/>
      <c r="Y131" s="588"/>
      <c r="Z131" s="588"/>
      <c r="AA131" s="588"/>
      <c r="AB131" s="588"/>
      <c r="AC131" s="588"/>
      <c r="AD131" s="588"/>
      <c r="AE131" s="147"/>
      <c r="AF131" s="588"/>
      <c r="AG131" s="588"/>
      <c r="AH131" s="147"/>
      <c r="AI131" s="588">
        <v>5.6000000000000001E-2</v>
      </c>
      <c r="AJ131" s="588">
        <f xml:space="preserve"> 25.6%</f>
        <v>0.25600000000000001</v>
      </c>
      <c r="AK131" s="588">
        <f xml:space="preserve"> 75.2%</f>
        <v>0.752</v>
      </c>
      <c r="AL131" s="588"/>
      <c r="AM131" s="588"/>
      <c r="AV131" s="95"/>
      <c r="AY131" s="62"/>
      <c r="AZ131" s="62"/>
      <c r="BA131" s="95"/>
      <c r="BD131" s="62"/>
      <c r="BE131" s="62"/>
      <c r="BF131" s="95"/>
      <c r="BG131" s="62"/>
      <c r="BH131" s="14"/>
      <c r="BI131" s="62"/>
      <c r="BJ131" s="62"/>
      <c r="BK131" s="95"/>
    </row>
    <row r="132" spans="1:63" ht="15" customHeight="1" x14ac:dyDescent="0.3">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c r="X132" s="147"/>
      <c r="Y132" s="588"/>
      <c r="Z132" s="588"/>
      <c r="AA132" s="588"/>
      <c r="AB132" s="588"/>
      <c r="AC132" s="588"/>
      <c r="AD132" s="588"/>
      <c r="AE132" s="147"/>
      <c r="AF132" s="588"/>
      <c r="AG132" s="588"/>
      <c r="AH132" s="147"/>
      <c r="AI132" s="588">
        <v>5.2999999999999999E-2</v>
      </c>
      <c r="AJ132" s="588">
        <f xml:space="preserve"> 25.8%</f>
        <v>0.25800000000000001</v>
      </c>
      <c r="AK132" s="588">
        <f xml:space="preserve"> 76.1%</f>
        <v>0.7609999999999999</v>
      </c>
      <c r="AL132" s="588"/>
      <c r="AM132" s="588"/>
      <c r="AV132" s="95"/>
      <c r="AY132" s="62"/>
      <c r="AZ132" s="62"/>
      <c r="BA132" s="95"/>
      <c r="BD132" s="62"/>
      <c r="BE132" s="62"/>
      <c r="BF132" s="95"/>
      <c r="BG132" s="62"/>
      <c r="BH132" s="14"/>
      <c r="BI132" s="62"/>
      <c r="BJ132" s="62"/>
      <c r="BK132" s="95"/>
    </row>
    <row r="133" spans="1:63" ht="15" customHeight="1" x14ac:dyDescent="0.3">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c r="X133" s="147"/>
      <c r="Y133" s="588"/>
      <c r="Z133" s="588"/>
      <c r="AA133" s="588"/>
      <c r="AB133" s="588"/>
      <c r="AC133" s="588"/>
      <c r="AD133" s="588"/>
      <c r="AE133" s="147"/>
      <c r="AF133" s="588"/>
      <c r="AG133" s="588"/>
      <c r="AH133" s="147"/>
      <c r="AI133" s="588">
        <v>0.05</v>
      </c>
      <c r="AJ133" s="588">
        <f xml:space="preserve"> 26%</f>
        <v>0.26</v>
      </c>
      <c r="AK133" s="588">
        <f xml:space="preserve"> 77%</f>
        <v>0.77</v>
      </c>
      <c r="AL133" s="588"/>
      <c r="AM133" s="588"/>
      <c r="AY133" s="62"/>
      <c r="AZ133" s="62"/>
      <c r="BD133" s="62"/>
      <c r="BE133" s="62"/>
      <c r="BG133" s="62"/>
      <c r="BH133" s="14"/>
      <c r="BI133" s="62"/>
      <c r="BJ133" s="62"/>
    </row>
    <row r="134" spans="1:63" ht="15" customHeight="1" x14ac:dyDescent="0.3">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c r="X134" s="147"/>
      <c r="Y134" s="588"/>
      <c r="Z134" s="588"/>
      <c r="AA134" s="588"/>
      <c r="AB134" s="588"/>
      <c r="AC134" s="588"/>
      <c r="AD134" s="588"/>
      <c r="AE134" s="147"/>
      <c r="AF134" s="588"/>
      <c r="AG134" s="588"/>
      <c r="AH134" s="147"/>
      <c r="AI134" s="588">
        <v>4.8000000000000001E-2</v>
      </c>
      <c r="AJ134" s="588">
        <f xml:space="preserve"> 26.2%</f>
        <v>0.26200000000000001</v>
      </c>
      <c r="AK134" s="588">
        <f xml:space="preserve"> 77.9%</f>
        <v>0.77900000000000003</v>
      </c>
      <c r="AL134" s="588"/>
      <c r="AM134" s="588"/>
      <c r="AY134" s="62"/>
      <c r="AZ134" s="62"/>
      <c r="BD134" s="62"/>
      <c r="BE134" s="62"/>
      <c r="BG134" s="62"/>
      <c r="BH134" s="14"/>
      <c r="BI134" s="62"/>
      <c r="BJ134" s="62"/>
    </row>
    <row r="135" spans="1:63" ht="15" customHeight="1" x14ac:dyDescent="0.3">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c r="X135" s="147"/>
      <c r="Y135" s="588"/>
      <c r="Z135" s="588"/>
      <c r="AA135" s="588"/>
      <c r="AB135" s="588"/>
      <c r="AC135" s="588"/>
      <c r="AD135" s="588"/>
      <c r="AE135" s="147"/>
      <c r="AF135" s="588"/>
      <c r="AG135" s="588"/>
      <c r="AH135" s="147"/>
      <c r="AI135" s="588">
        <v>4.5999999999999999E-2</v>
      </c>
      <c r="AJ135" s="588">
        <f xml:space="preserve"> 26.4%</f>
        <v>0.26400000000000001</v>
      </c>
      <c r="AK135" s="588">
        <f xml:space="preserve"> 78.8%</f>
        <v>0.78799999999999992</v>
      </c>
      <c r="AL135" s="588"/>
      <c r="AM135" s="588"/>
      <c r="AV135" s="95"/>
      <c r="AY135" s="62"/>
      <c r="AZ135" s="62"/>
      <c r="BA135" s="95"/>
      <c r="BD135" s="62"/>
      <c r="BE135" s="62"/>
      <c r="BF135" s="95"/>
      <c r="BG135" s="62"/>
      <c r="BH135" s="14"/>
      <c r="BI135" s="62"/>
      <c r="BJ135" s="62"/>
      <c r="BK135" s="95"/>
    </row>
    <row r="136" spans="1:63" ht="15" customHeight="1" x14ac:dyDescent="0.3">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c r="X136" s="147"/>
      <c r="Y136" s="588"/>
      <c r="Z136" s="588"/>
      <c r="AA136" s="588"/>
      <c r="AB136" s="588"/>
      <c r="AC136" s="588"/>
      <c r="AD136" s="588"/>
      <c r="AE136" s="147"/>
      <c r="AF136" s="588"/>
      <c r="AG136" s="588"/>
      <c r="AH136" s="147"/>
      <c r="AI136" s="588">
        <v>4.3999999999999997E-2</v>
      </c>
      <c r="AJ136" s="588">
        <f xml:space="preserve"> 26.6%</f>
        <v>0.26600000000000001</v>
      </c>
      <c r="AK136" s="588">
        <f xml:space="preserve"> 79.7%</f>
        <v>0.79700000000000004</v>
      </c>
      <c r="AL136" s="588"/>
      <c r="AM136" s="588"/>
      <c r="AV136" s="95"/>
      <c r="AY136" s="62"/>
      <c r="AZ136" s="62"/>
      <c r="BA136" s="95"/>
      <c r="BD136" s="62"/>
      <c r="BE136" s="62"/>
      <c r="BF136" s="95"/>
      <c r="BG136" s="62"/>
      <c r="BH136" s="14"/>
      <c r="BI136" s="62"/>
      <c r="BJ136" s="62"/>
      <c r="BK136" s="95"/>
    </row>
    <row r="137" spans="1:63" ht="15" customHeight="1" x14ac:dyDescent="0.3">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c r="X137" s="147"/>
      <c r="Y137" s="588"/>
      <c r="Z137" s="588"/>
      <c r="AA137" s="588"/>
      <c r="AB137" s="588"/>
      <c r="AC137" s="588"/>
      <c r="AD137" s="588"/>
      <c r="AE137" s="147"/>
      <c r="AF137" s="588"/>
      <c r="AG137" s="588"/>
      <c r="AH137" s="147"/>
      <c r="AI137" s="588">
        <v>4.2000000000000003E-2</v>
      </c>
      <c r="AJ137" s="588">
        <f xml:space="preserve"> 26.8%</f>
        <v>0.26800000000000002</v>
      </c>
      <c r="AK137" s="588">
        <f xml:space="preserve"> 80.6%</f>
        <v>0.80599999999999994</v>
      </c>
      <c r="AL137" s="588"/>
      <c r="AM137" s="588"/>
      <c r="AV137" s="95"/>
      <c r="AY137" s="62"/>
      <c r="AZ137" s="62"/>
      <c r="BA137" s="95"/>
      <c r="BD137" s="62"/>
      <c r="BE137" s="62"/>
      <c r="BF137" s="95"/>
      <c r="BG137" s="62"/>
      <c r="BH137" s="14"/>
      <c r="BI137" s="62"/>
      <c r="BJ137" s="62"/>
      <c r="BK137" s="95"/>
    </row>
    <row r="138" spans="1:63" ht="15" customHeight="1" x14ac:dyDescent="0.3">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c r="X138" s="147"/>
      <c r="Y138" s="588"/>
      <c r="Z138" s="588"/>
      <c r="AA138" s="588"/>
      <c r="AB138" s="588"/>
      <c r="AC138" s="588"/>
      <c r="AD138" s="588"/>
      <c r="AE138" s="147"/>
      <c r="AF138" s="588"/>
      <c r="AG138" s="588"/>
      <c r="AH138" s="147"/>
      <c r="AI138" s="588">
        <v>0.04</v>
      </c>
      <c r="AJ138" s="588">
        <f xml:space="preserve"> 27%</f>
        <v>0.27</v>
      </c>
      <c r="AK138" s="588">
        <f xml:space="preserve"> 81.5%</f>
        <v>0.81499999999999995</v>
      </c>
      <c r="AL138" s="588"/>
      <c r="AM138" s="588"/>
      <c r="BD138" s="62"/>
      <c r="BE138" s="62"/>
      <c r="BG138" s="62"/>
      <c r="BH138" s="14"/>
    </row>
    <row r="139" spans="1:63" ht="15" customHeight="1" x14ac:dyDescent="0.3">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c r="X139" s="147"/>
      <c r="Y139" s="588"/>
      <c r="Z139" s="588"/>
      <c r="AA139" s="588"/>
      <c r="AB139" s="588"/>
      <c r="AC139" s="588"/>
      <c r="AD139" s="588"/>
      <c r="AE139" s="147"/>
      <c r="AF139" s="588"/>
      <c r="AG139" s="588"/>
      <c r="AH139" s="147"/>
      <c r="AI139" s="588">
        <v>3.7999999999999999E-2</v>
      </c>
      <c r="AJ139" s="588">
        <f xml:space="preserve"> 27.2%</f>
        <v>0.27200000000000002</v>
      </c>
      <c r="AK139" s="588">
        <f xml:space="preserve"> 82.4%</f>
        <v>0.82400000000000007</v>
      </c>
      <c r="AL139" s="588"/>
      <c r="AM139" s="588"/>
      <c r="BG139" s="62"/>
      <c r="BH139" s="14"/>
    </row>
    <row r="140" spans="1:63" ht="15" customHeight="1" x14ac:dyDescent="0.3">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c r="X140" s="147"/>
      <c r="Y140" s="588"/>
      <c r="Z140" s="588"/>
      <c r="AA140" s="588"/>
      <c r="AB140" s="588"/>
      <c r="AC140" s="588"/>
      <c r="AD140" s="588"/>
      <c r="AE140" s="147"/>
      <c r="AF140" s="588"/>
      <c r="AG140" s="588"/>
      <c r="AH140" s="147"/>
      <c r="AI140" s="588">
        <v>3.5999999999999997E-2</v>
      </c>
      <c r="AJ140" s="588">
        <f xml:space="preserve"> 27.4%</f>
        <v>0.27399999999999997</v>
      </c>
      <c r="AK140" s="588">
        <f xml:space="preserve"> 83.3%</f>
        <v>0.83299999999999996</v>
      </c>
      <c r="AL140" s="588"/>
      <c r="AM140" s="588"/>
      <c r="BG140" s="62"/>
      <c r="BH140" s="14"/>
    </row>
    <row r="141" spans="1:63" ht="15" customHeight="1" x14ac:dyDescent="0.3">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c r="X141" s="147"/>
      <c r="Y141" s="588"/>
      <c r="Z141" s="588"/>
      <c r="AA141" s="588"/>
      <c r="AB141" s="588"/>
      <c r="AC141" s="588"/>
      <c r="AD141" s="588"/>
      <c r="AE141" s="147"/>
      <c r="AF141" s="588"/>
      <c r="AG141" s="588"/>
      <c r="AH141" s="147"/>
      <c r="AI141" s="588">
        <v>3.4000000000000002E-2</v>
      </c>
      <c r="AJ141" s="588">
        <f xml:space="preserve"> 27.6%</f>
        <v>0.27600000000000002</v>
      </c>
      <c r="AK141" s="588">
        <f xml:space="preserve"> 84.2%</f>
        <v>0.84200000000000008</v>
      </c>
      <c r="AL141" s="588"/>
      <c r="AM141" s="588"/>
      <c r="BG141" s="62"/>
      <c r="BH141" s="14"/>
    </row>
    <row r="142" spans="1:63" ht="15" customHeight="1" x14ac:dyDescent="0.3">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c r="X142" s="147"/>
      <c r="Y142" s="588"/>
      <c r="Z142" s="588"/>
      <c r="AA142" s="588"/>
      <c r="AB142" s="588"/>
      <c r="AC142" s="588"/>
      <c r="AD142" s="588"/>
      <c r="AE142" s="147"/>
      <c r="AF142" s="588"/>
      <c r="AG142" s="588"/>
      <c r="AH142" s="147"/>
      <c r="AI142" s="588">
        <v>3.2000000000000001E-2</v>
      </c>
      <c r="AJ142" s="588">
        <f xml:space="preserve"> 27.8%</f>
        <v>0.27800000000000002</v>
      </c>
      <c r="AK142" s="588">
        <f xml:space="preserve"> 85.1%</f>
        <v>0.85099999999999998</v>
      </c>
      <c r="AL142" s="588"/>
      <c r="AM142" s="588"/>
      <c r="BG142" s="62"/>
      <c r="BH142" s="14"/>
    </row>
    <row r="143" spans="1:63" ht="15" customHeight="1" x14ac:dyDescent="0.3">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c r="X143" s="147"/>
      <c r="Y143" s="588"/>
      <c r="Z143" s="588"/>
      <c r="AA143" s="588"/>
      <c r="AB143" s="588"/>
      <c r="AC143" s="588"/>
      <c r="AD143" s="588"/>
      <c r="AE143" s="147"/>
      <c r="AF143" s="588"/>
      <c r="AG143" s="588"/>
      <c r="AH143" s="147"/>
      <c r="AI143" s="588">
        <v>0.03</v>
      </c>
      <c r="AJ143" s="588">
        <f xml:space="preserve"> 28%</f>
        <v>0.28000000000000003</v>
      </c>
      <c r="AK143" s="588">
        <f xml:space="preserve"> 86%</f>
        <v>0.86</v>
      </c>
      <c r="AL143" s="588"/>
      <c r="AM143" s="588"/>
      <c r="BG143" s="62"/>
      <c r="BH143" s="14"/>
    </row>
    <row r="144" spans="1:63" ht="15" customHeight="1" x14ac:dyDescent="0.3">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c r="X144" s="147"/>
      <c r="Y144" s="588"/>
      <c r="Z144" s="588"/>
      <c r="AA144" s="588"/>
      <c r="AB144" s="588"/>
      <c r="AC144" s="588"/>
      <c r="AD144" s="588"/>
      <c r="AE144" s="147"/>
      <c r="AF144" s="588"/>
      <c r="AG144" s="588"/>
      <c r="AH144" s="147"/>
      <c r="AI144" s="588">
        <v>2.7E-2</v>
      </c>
      <c r="AJ144" s="588">
        <f xml:space="preserve"> 28.2%</f>
        <v>0.28199999999999997</v>
      </c>
      <c r="AK144" s="588">
        <f xml:space="preserve"> 86.9%</f>
        <v>0.86900000000000011</v>
      </c>
      <c r="AL144" s="588"/>
      <c r="AM144" s="588"/>
      <c r="BG144" s="62"/>
      <c r="BH144" s="14"/>
    </row>
    <row r="145" spans="1:63" ht="15" customHeight="1" x14ac:dyDescent="0.3">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c r="X145" s="147"/>
      <c r="Y145" s="588"/>
      <c r="Z145" s="588"/>
      <c r="AA145" s="588"/>
      <c r="AB145" s="588"/>
      <c r="AC145" s="588"/>
      <c r="AD145" s="588"/>
      <c r="AE145" s="147"/>
      <c r="AF145" s="588"/>
      <c r="AG145" s="588"/>
      <c r="AH145" s="147"/>
      <c r="AI145" s="588">
        <v>2.4E-2</v>
      </c>
      <c r="AJ145" s="588">
        <f xml:space="preserve"> 28.4%</f>
        <v>0.28399999999999997</v>
      </c>
      <c r="AK145" s="588">
        <f xml:space="preserve"> 87.8%</f>
        <v>0.878</v>
      </c>
      <c r="AL145" s="588"/>
      <c r="AM145" s="588"/>
      <c r="BG145" s="62"/>
      <c r="BH145" s="14"/>
    </row>
    <row r="146" spans="1:63" ht="15" customHeight="1" x14ac:dyDescent="0.3">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c r="X146" s="147"/>
      <c r="Y146" s="588"/>
      <c r="Z146" s="588"/>
      <c r="AA146" s="588"/>
      <c r="AB146" s="588"/>
      <c r="AC146" s="588"/>
      <c r="AD146" s="588"/>
      <c r="AE146" s="147"/>
      <c r="AF146" s="588"/>
      <c r="AG146" s="588"/>
      <c r="AH146" s="147"/>
      <c r="AI146" s="588">
        <v>2.1000000000000001E-2</v>
      </c>
      <c r="AJ146" s="588">
        <f xml:space="preserve"> 28.6%</f>
        <v>0.28600000000000003</v>
      </c>
      <c r="AK146" s="588">
        <f xml:space="preserve"> 88.7%</f>
        <v>0.88700000000000001</v>
      </c>
      <c r="AL146" s="588"/>
      <c r="AM146" s="588"/>
      <c r="BG146" s="62"/>
      <c r="BH146" s="14"/>
    </row>
    <row r="147" spans="1:63" ht="15" customHeight="1" x14ac:dyDescent="0.3">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c r="X147" s="147"/>
      <c r="Y147" s="588"/>
      <c r="Z147" s="588"/>
      <c r="AA147" s="588"/>
      <c r="AB147" s="588"/>
      <c r="AC147" s="588"/>
      <c r="AD147" s="588"/>
      <c r="AE147" s="147"/>
      <c r="AF147" s="588"/>
      <c r="AG147" s="588"/>
      <c r="AH147" s="147"/>
      <c r="AI147" s="588">
        <v>1.7999999999999999E-2</v>
      </c>
      <c r="AJ147" s="588">
        <f xml:space="preserve"> 28.8%</f>
        <v>0.28800000000000003</v>
      </c>
      <c r="AK147" s="588">
        <f xml:space="preserve"> 89.6%</f>
        <v>0.89599999999999991</v>
      </c>
      <c r="AL147" s="588"/>
      <c r="AM147" s="588"/>
      <c r="BG147" s="62"/>
      <c r="BH147" s="14"/>
    </row>
    <row r="148" spans="1:63" ht="15" customHeight="1" x14ac:dyDescent="0.3">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c r="X148" s="147"/>
      <c r="Y148" s="588"/>
      <c r="Z148" s="588"/>
      <c r="AA148" s="588"/>
      <c r="AB148" s="588"/>
      <c r="AC148" s="588"/>
      <c r="AD148" s="588"/>
      <c r="AE148" s="147"/>
      <c r="AF148" s="588"/>
      <c r="AG148" s="588"/>
      <c r="AH148" s="147"/>
      <c r="AI148" s="588">
        <v>1.4999999999999999E-2</v>
      </c>
      <c r="AJ148" s="588">
        <f xml:space="preserve"> 29%</f>
        <v>0.28999999999999998</v>
      </c>
      <c r="AK148" s="588">
        <f xml:space="preserve"> 90.5%</f>
        <v>0.90500000000000003</v>
      </c>
      <c r="AL148" s="588"/>
      <c r="AM148" s="588"/>
      <c r="BD148" s="62"/>
      <c r="BE148" s="62"/>
      <c r="BF148" s="95"/>
      <c r="BG148" s="62"/>
      <c r="BH148" s="14"/>
    </row>
    <row r="149" spans="1:63" ht="15" customHeight="1" x14ac:dyDescent="0.3">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c r="X149" s="147"/>
      <c r="Y149" s="588"/>
      <c r="Z149" s="588"/>
      <c r="AA149" s="588"/>
      <c r="AB149" s="588"/>
      <c r="AC149" s="588"/>
      <c r="AD149" s="588"/>
      <c r="AE149" s="147"/>
      <c r="AF149" s="588"/>
      <c r="AG149" s="588"/>
      <c r="AH149" s="147"/>
      <c r="AI149" s="588">
        <v>1.2E-2</v>
      </c>
      <c r="AJ149" s="588">
        <f xml:space="preserve"> 29.2%</f>
        <v>0.29199999999999998</v>
      </c>
      <c r="AK149" s="588">
        <f xml:space="preserve"> 91.4%</f>
        <v>0.91400000000000003</v>
      </c>
      <c r="AL149" s="588"/>
      <c r="AM149" s="588"/>
      <c r="AV149" s="62"/>
      <c r="AY149" s="62"/>
      <c r="AZ149" s="62"/>
      <c r="BA149" s="62"/>
      <c r="BD149" s="62"/>
      <c r="BE149" s="62"/>
      <c r="BF149" s="62"/>
      <c r="BG149" s="62"/>
      <c r="BH149" s="14"/>
      <c r="BI149" s="62"/>
      <c r="BJ149" s="62"/>
      <c r="BK149" s="62"/>
    </row>
    <row r="150" spans="1:63" ht="15" customHeight="1" x14ac:dyDescent="0.3">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c r="X150" s="147"/>
      <c r="Y150" s="588"/>
      <c r="Z150" s="588"/>
      <c r="AA150" s="588"/>
      <c r="AB150" s="588"/>
      <c r="AC150" s="588"/>
      <c r="AD150" s="588"/>
      <c r="AE150" s="147"/>
      <c r="AF150" s="588"/>
      <c r="AG150" s="588"/>
      <c r="AH150" s="147"/>
      <c r="AI150" s="588">
        <v>8.9999999999999993E-3</v>
      </c>
      <c r="AJ150" s="588">
        <f xml:space="preserve"> 29.4%</f>
        <v>0.29399999999999998</v>
      </c>
      <c r="AK150" s="588">
        <f xml:space="preserve"> 92.3%</f>
        <v>0.92299999999999993</v>
      </c>
      <c r="AL150" s="588"/>
      <c r="AM150" s="588"/>
      <c r="AS150" s="99"/>
      <c r="AV150" s="95"/>
      <c r="AY150" s="62"/>
      <c r="AZ150" s="62"/>
      <c r="BA150" s="95"/>
      <c r="BC150" s="99"/>
      <c r="BD150" s="62"/>
      <c r="BE150" s="62"/>
      <c r="BF150" s="95"/>
      <c r="BG150" s="62"/>
      <c r="BH150" s="14"/>
      <c r="BI150" s="62"/>
      <c r="BJ150" s="62"/>
      <c r="BK150" s="95"/>
    </row>
    <row r="151" spans="1:63" ht="15" customHeight="1" x14ac:dyDescent="0.3">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c r="X151" s="147"/>
      <c r="Y151" s="588"/>
      <c r="Z151" s="588"/>
      <c r="AA151" s="588"/>
      <c r="AB151" s="588"/>
      <c r="AC151" s="588"/>
      <c r="AD151" s="588"/>
      <c r="AE151" s="147"/>
      <c r="AF151" s="588"/>
      <c r="AG151" s="588"/>
      <c r="AH151" s="147"/>
      <c r="AI151" s="588">
        <v>6.0000000000000001E-3</v>
      </c>
      <c r="AJ151" s="588">
        <f xml:space="preserve"> 29.6%</f>
        <v>0.29600000000000004</v>
      </c>
      <c r="AK151" s="588">
        <f xml:space="preserve"> 93.2%</f>
        <v>0.93200000000000005</v>
      </c>
      <c r="AL151" s="588"/>
      <c r="AM151" s="588"/>
      <c r="AS151" s="99"/>
      <c r="AV151" s="95"/>
      <c r="AY151" s="62"/>
      <c r="AZ151" s="62"/>
      <c r="BA151" s="95"/>
      <c r="BC151" s="99"/>
      <c r="BD151" s="62"/>
      <c r="BE151" s="62"/>
      <c r="BF151" s="95"/>
      <c r="BG151" s="62"/>
      <c r="BH151" s="14"/>
      <c r="BI151" s="62"/>
      <c r="BJ151" s="62"/>
      <c r="BK151" s="95"/>
    </row>
    <row r="152" spans="1:63" ht="15" customHeight="1" x14ac:dyDescent="0.3">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c r="X152" s="147"/>
      <c r="Y152" s="588"/>
      <c r="Z152" s="588"/>
      <c r="AA152" s="588"/>
      <c r="AB152" s="588"/>
      <c r="AC152" s="588"/>
      <c r="AD152" s="588"/>
      <c r="AE152" s="147"/>
      <c r="AF152" s="588"/>
      <c r="AG152" s="588"/>
      <c r="AH152" s="147"/>
      <c r="AI152" s="588">
        <v>3.0000000000000001E-3</v>
      </c>
      <c r="AJ152" s="588">
        <f xml:space="preserve"> 29.8%</f>
        <v>0.29799999999999999</v>
      </c>
      <c r="AK152" s="588">
        <f xml:space="preserve"> 94.1%</f>
        <v>0.94099999999999995</v>
      </c>
      <c r="AL152" s="588"/>
      <c r="AM152" s="588"/>
      <c r="BD152" s="62"/>
      <c r="BE152" s="62"/>
      <c r="BG152" s="62"/>
      <c r="BH152" s="14"/>
    </row>
    <row r="153" spans="1:63" ht="15" customHeight="1" x14ac:dyDescent="0.3">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c r="X153" s="147"/>
      <c r="Y153" s="588"/>
      <c r="Z153" s="588"/>
      <c r="AA153" s="588"/>
      <c r="AB153" s="588"/>
      <c r="AC153" s="588"/>
      <c r="AD153" s="588"/>
      <c r="AE153" s="147"/>
      <c r="AF153" s="588"/>
      <c r="AG153" s="588"/>
      <c r="AH153" s="147"/>
      <c r="AI153" s="588">
        <v>0</v>
      </c>
      <c r="AJ153" s="588">
        <f xml:space="preserve"> 30%</f>
        <v>0.3</v>
      </c>
      <c r="AK153" s="588">
        <f xml:space="preserve"> 95%</f>
        <v>0.95</v>
      </c>
      <c r="AL153" s="588"/>
      <c r="AM153" s="588"/>
      <c r="BD153" s="62"/>
      <c r="BE153" s="62"/>
      <c r="BG153" s="62"/>
      <c r="BH153" s="14"/>
    </row>
    <row r="154" spans="1:63" x14ac:dyDescent="0.3">
      <c r="BD154" s="62"/>
      <c r="BE154" s="62"/>
      <c r="BG154" s="62"/>
      <c r="BH154" s="14"/>
    </row>
    <row r="155" spans="1:63" x14ac:dyDescent="0.3">
      <c r="BD155" s="62"/>
      <c r="BE155" s="62"/>
      <c r="BG155" s="62"/>
      <c r="BH155" s="14"/>
    </row>
    <row r="156" spans="1:63" x14ac:dyDescent="0.3">
      <c r="BD156" s="62"/>
      <c r="BE156" s="62"/>
      <c r="BG156" s="62"/>
      <c r="BH156" s="14"/>
    </row>
    <row r="157" spans="1:63" x14ac:dyDescent="0.3">
      <c r="BD157" s="62"/>
      <c r="BE157" s="62"/>
      <c r="BG157" s="62"/>
      <c r="BH157" s="14"/>
    </row>
    <row r="158" spans="1:63" x14ac:dyDescent="0.3">
      <c r="BD158" s="62"/>
      <c r="BE158" s="62"/>
      <c r="BG158" s="62"/>
      <c r="BH158" s="14"/>
    </row>
    <row r="159" spans="1:63" x14ac:dyDescent="0.3">
      <c r="BD159" s="62"/>
      <c r="BE159" s="62"/>
      <c r="BG159" s="62"/>
      <c r="BH159" s="14"/>
    </row>
    <row r="160" spans="1:63" x14ac:dyDescent="0.3">
      <c r="BD160" s="62"/>
      <c r="BE160" s="62"/>
      <c r="BG160" s="62"/>
      <c r="BH160" s="14"/>
    </row>
    <row r="161" spans="56:60" x14ac:dyDescent="0.3">
      <c r="BD161" s="62"/>
      <c r="BE161" s="62"/>
      <c r="BG161" s="62"/>
      <c r="BH161" s="14"/>
    </row>
    <row r="162" spans="56:60" x14ac:dyDescent="0.3">
      <c r="BD162" s="62"/>
      <c r="BE162" s="62"/>
      <c r="BG162" s="62"/>
      <c r="BH162" s="14"/>
    </row>
    <row r="163" spans="56:60" x14ac:dyDescent="0.3">
      <c r="BD163" s="62"/>
      <c r="BE163" s="62"/>
      <c r="BG163" s="62"/>
      <c r="BH163" s="14"/>
    </row>
    <row r="164" spans="56:60" x14ac:dyDescent="0.3">
      <c r="BD164" s="62"/>
      <c r="BE164" s="62"/>
      <c r="BG164" s="62"/>
      <c r="BH164" s="14"/>
    </row>
    <row r="165" spans="56:60" x14ac:dyDescent="0.3">
      <c r="BD165" s="62"/>
      <c r="BE165" s="62"/>
      <c r="BG165" s="62"/>
      <c r="BH165" s="14"/>
    </row>
    <row r="166" spans="56:60" x14ac:dyDescent="0.3">
      <c r="BD166" s="62"/>
      <c r="BE166" s="62"/>
      <c r="BG166" s="62"/>
      <c r="BH166" s="14"/>
    </row>
    <row r="167" spans="56:60" x14ac:dyDescent="0.3">
      <c r="BD167" s="62"/>
      <c r="BE167" s="62"/>
      <c r="BG167" s="62"/>
      <c r="BH167" s="14"/>
    </row>
    <row r="168" spans="56:60" x14ac:dyDescent="0.3">
      <c r="BD168" s="62"/>
      <c r="BE168" s="62"/>
      <c r="BG168" s="62"/>
      <c r="BH168" s="14"/>
    </row>
    <row r="169" spans="56:60" x14ac:dyDescent="0.3">
      <c r="BD169" s="62"/>
      <c r="BE169" s="62"/>
      <c r="BG169" s="62"/>
      <c r="BH169" s="14"/>
    </row>
    <row r="170" spans="56:60" x14ac:dyDescent="0.3">
      <c r="BD170" s="62"/>
      <c r="BE170" s="62"/>
      <c r="BG170" s="62"/>
      <c r="BH170" s="14"/>
    </row>
    <row r="171" spans="56:60" x14ac:dyDescent="0.3">
      <c r="BD171" s="62"/>
      <c r="BE171" s="62"/>
      <c r="BG171" s="62"/>
      <c r="BH171" s="14"/>
    </row>
    <row r="172" spans="56:60" x14ac:dyDescent="0.3">
      <c r="BD172" s="62"/>
      <c r="BE172" s="62"/>
      <c r="BG172" s="62"/>
      <c r="BH172" s="14"/>
    </row>
    <row r="173" spans="56:60" x14ac:dyDescent="0.3">
      <c r="BD173" s="62"/>
      <c r="BE173" s="62"/>
      <c r="BG173" s="62"/>
      <c r="BH173" s="14"/>
    </row>
    <row r="174" spans="56:60" x14ac:dyDescent="0.3">
      <c r="BD174" s="62"/>
      <c r="BE174" s="62"/>
      <c r="BG174" s="62"/>
      <c r="BH174" s="14"/>
    </row>
    <row r="175" spans="56:60" x14ac:dyDescent="0.3">
      <c r="BD175" s="62"/>
      <c r="BE175" s="62"/>
      <c r="BG175" s="62"/>
      <c r="BH175" s="14"/>
    </row>
    <row r="176" spans="56:60" x14ac:dyDescent="0.3">
      <c r="BD176" s="62"/>
      <c r="BE176" s="62"/>
      <c r="BG176" s="62"/>
      <c r="BH176" s="14"/>
    </row>
    <row r="177" spans="56:60" x14ac:dyDescent="0.3">
      <c r="BD177" s="62"/>
      <c r="BE177" s="62"/>
      <c r="BG177" s="62"/>
      <c r="BH177" s="14"/>
    </row>
    <row r="178" spans="56:60" x14ac:dyDescent="0.3">
      <c r="BD178" s="62"/>
      <c r="BE178" s="62"/>
      <c r="BG178" s="62"/>
      <c r="BH178" s="14"/>
    </row>
    <row r="179" spans="56:60" x14ac:dyDescent="0.3">
      <c r="BD179" s="62"/>
      <c r="BE179" s="62"/>
      <c r="BG179" s="62"/>
      <c r="BH179" s="14"/>
    </row>
    <row r="180" spans="56:60" x14ac:dyDescent="0.3">
      <c r="BD180" s="62"/>
      <c r="BE180" s="62"/>
      <c r="BG180" s="62"/>
      <c r="BH180" s="14"/>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row>
    <row r="491" spans="1:1" x14ac:dyDescent="0.3">
      <c r="A491" s="14"/>
    </row>
    <row r="492" spans="1:1" x14ac:dyDescent="0.3">
      <c r="A492" s="14"/>
    </row>
    <row r="493" spans="1:1" x14ac:dyDescent="0.3">
      <c r="A493" s="14"/>
    </row>
    <row r="494" spans="1:1" x14ac:dyDescent="0.3">
      <c r="A494" s="14"/>
    </row>
    <row r="495" spans="1:1" x14ac:dyDescent="0.3">
      <c r="A495" s="14"/>
    </row>
    <row r="496" spans="1:1" x14ac:dyDescent="0.3">
      <c r="A496" s="14"/>
    </row>
    <row r="497" spans="1:1" x14ac:dyDescent="0.3">
      <c r="A497" s="14"/>
    </row>
    <row r="498" spans="1:1" x14ac:dyDescent="0.3">
      <c r="A498" s="14"/>
    </row>
    <row r="499" spans="1:1" x14ac:dyDescent="0.3">
      <c r="A499" s="14"/>
    </row>
    <row r="500" spans="1:1" x14ac:dyDescent="0.3">
      <c r="A500" s="14"/>
    </row>
    <row r="501" spans="1:1" x14ac:dyDescent="0.3">
      <c r="A501" s="14"/>
    </row>
    <row r="502" spans="1:1" x14ac:dyDescent="0.3">
      <c r="A502" s="14"/>
    </row>
    <row r="503" spans="1:1" x14ac:dyDescent="0.3">
      <c r="A503" s="14"/>
    </row>
    <row r="504" spans="1:1" x14ac:dyDescent="0.3">
      <c r="A504" s="14"/>
    </row>
    <row r="505" spans="1:1" x14ac:dyDescent="0.3">
      <c r="A505" s="14"/>
    </row>
    <row r="506" spans="1:1" x14ac:dyDescent="0.3">
      <c r="A506" s="14"/>
    </row>
    <row r="507" spans="1:1" x14ac:dyDescent="0.3">
      <c r="A507" s="14"/>
    </row>
    <row r="508" spans="1:1" x14ac:dyDescent="0.3">
      <c r="A508" s="14"/>
    </row>
    <row r="509" spans="1:1" x14ac:dyDescent="0.3">
      <c r="A509" s="14"/>
    </row>
    <row r="510" spans="1:1" x14ac:dyDescent="0.3">
      <c r="A510" s="14"/>
    </row>
    <row r="511" spans="1:1" x14ac:dyDescent="0.3">
      <c r="A511" s="14"/>
    </row>
    <row r="512" spans="1:1" x14ac:dyDescent="0.3">
      <c r="A512" s="14"/>
    </row>
    <row r="513" spans="1:1" x14ac:dyDescent="0.3">
      <c r="A513" s="14"/>
    </row>
    <row r="514" spans="1:1" x14ac:dyDescent="0.3">
      <c r="A514" s="14"/>
    </row>
    <row r="515" spans="1:1" x14ac:dyDescent="0.3">
      <c r="A515" s="14"/>
    </row>
    <row r="516" spans="1:1" x14ac:dyDescent="0.3">
      <c r="A516" s="14"/>
    </row>
    <row r="517" spans="1:1" x14ac:dyDescent="0.3">
      <c r="A517" s="14"/>
    </row>
    <row r="518" spans="1:1" x14ac:dyDescent="0.3">
      <c r="A518" s="14"/>
    </row>
    <row r="519" spans="1:1" x14ac:dyDescent="0.3">
      <c r="A519" s="14"/>
    </row>
    <row r="520" spans="1:1" x14ac:dyDescent="0.3">
      <c r="A520" s="14"/>
    </row>
    <row r="521" spans="1:1" x14ac:dyDescent="0.3">
      <c r="A521" s="14"/>
    </row>
    <row r="522" spans="1:1" x14ac:dyDescent="0.3">
      <c r="A522" s="14"/>
    </row>
    <row r="523" spans="1:1" x14ac:dyDescent="0.3">
      <c r="A523" s="14"/>
    </row>
    <row r="524" spans="1:1" x14ac:dyDescent="0.3">
      <c r="A524" s="14"/>
    </row>
    <row r="525" spans="1:1" x14ac:dyDescent="0.3">
      <c r="A525" s="14"/>
    </row>
    <row r="526" spans="1:1" x14ac:dyDescent="0.3">
      <c r="A526" s="14"/>
    </row>
    <row r="527" spans="1:1" x14ac:dyDescent="0.3">
      <c r="A527" s="14"/>
    </row>
    <row r="528" spans="1:1" x14ac:dyDescent="0.3">
      <c r="A528" s="14"/>
    </row>
    <row r="529" spans="1:1" x14ac:dyDescent="0.3">
      <c r="A529" s="14"/>
    </row>
    <row r="530" spans="1:1" x14ac:dyDescent="0.3">
      <c r="A530" s="14"/>
    </row>
    <row r="531" spans="1:1" x14ac:dyDescent="0.3">
      <c r="A531" s="14"/>
    </row>
    <row r="532" spans="1:1" x14ac:dyDescent="0.3">
      <c r="A532" s="14"/>
    </row>
    <row r="533" spans="1:1" x14ac:dyDescent="0.3">
      <c r="A533" s="14"/>
    </row>
    <row r="534" spans="1:1" x14ac:dyDescent="0.3">
      <c r="A534" s="14"/>
    </row>
    <row r="535" spans="1:1" x14ac:dyDescent="0.3">
      <c r="A535" s="14"/>
    </row>
    <row r="536" spans="1:1" x14ac:dyDescent="0.3">
      <c r="A536" s="14"/>
    </row>
    <row r="537" spans="1:1" x14ac:dyDescent="0.3">
      <c r="A537" s="14"/>
    </row>
    <row r="538" spans="1:1" x14ac:dyDescent="0.3">
      <c r="A538" s="14"/>
    </row>
    <row r="539" spans="1:1" x14ac:dyDescent="0.3">
      <c r="A539" s="14"/>
    </row>
    <row r="540" spans="1:1" x14ac:dyDescent="0.3">
      <c r="A540" s="14"/>
    </row>
    <row r="541" spans="1:1" x14ac:dyDescent="0.3">
      <c r="A541" s="14"/>
    </row>
    <row r="542" spans="1:1" x14ac:dyDescent="0.3">
      <c r="A542" s="14"/>
    </row>
    <row r="543" spans="1:1" x14ac:dyDescent="0.3">
      <c r="A543" s="14"/>
    </row>
    <row r="544" spans="1:1" x14ac:dyDescent="0.3">
      <c r="A544" s="14"/>
    </row>
    <row r="545" spans="1:1" x14ac:dyDescent="0.3">
      <c r="A545" s="14"/>
    </row>
    <row r="546" spans="1:1" x14ac:dyDescent="0.3">
      <c r="A546" s="14"/>
    </row>
    <row r="547" spans="1:1" x14ac:dyDescent="0.3">
      <c r="A547" s="14"/>
    </row>
    <row r="548" spans="1:1" x14ac:dyDescent="0.3">
      <c r="A548" s="14"/>
    </row>
    <row r="549" spans="1:1" x14ac:dyDescent="0.3">
      <c r="A549" s="14"/>
    </row>
    <row r="550" spans="1:1" x14ac:dyDescent="0.3">
      <c r="A550" s="14"/>
    </row>
    <row r="551" spans="1:1" x14ac:dyDescent="0.3">
      <c r="A551" s="14"/>
    </row>
    <row r="552" spans="1:1" x14ac:dyDescent="0.3">
      <c r="A552" s="14"/>
    </row>
    <row r="553" spans="1:1" x14ac:dyDescent="0.3">
      <c r="A553" s="14"/>
    </row>
    <row r="554" spans="1:1" x14ac:dyDescent="0.3">
      <c r="A554" s="14"/>
    </row>
    <row r="555" spans="1:1" x14ac:dyDescent="0.3">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 x14ac:dyDescent="0.3"/>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3">
      <c r="B1" s="739" t="s">
        <v>1732</v>
      </c>
      <c r="C1" s="786"/>
      <c r="D1" s="747" t="str">
        <f>IF('Start here'!A6="","",'Start here'!A6)</f>
        <v/>
      </c>
      <c r="E1" s="751"/>
      <c r="F1" s="751"/>
      <c r="G1" s="751"/>
      <c r="H1" s="751"/>
      <c r="I1" s="751"/>
      <c r="J1" s="751"/>
      <c r="K1" s="752"/>
      <c r="M1" s="747" t="str">
        <f>IF('Start here'!A7="","",'Start here'!A7)</f>
        <v/>
      </c>
      <c r="N1" s="751"/>
      <c r="O1" s="751"/>
      <c r="P1" s="751"/>
      <c r="Q1" s="752"/>
      <c r="R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3">
      <c r="B2" s="792"/>
      <c r="C2" s="792"/>
      <c r="D2" s="792"/>
      <c r="E2" s="792"/>
      <c r="F2" s="792"/>
      <c r="G2" s="792"/>
      <c r="H2" s="792"/>
      <c r="I2" s="792"/>
      <c r="J2" s="792"/>
      <c r="K2" s="792"/>
      <c r="L2" s="792"/>
      <c r="M2" s="792"/>
      <c r="N2" s="792"/>
      <c r="O2" s="792"/>
      <c r="P2" s="792"/>
      <c r="Q2" s="792"/>
    </row>
    <row r="3" spans="1:170" ht="36" customHeight="1" x14ac:dyDescent="0.4">
      <c r="A3" s="15"/>
      <c r="B3" s="919" t="str">
        <f>IF(N51="",T3,IF(N51&gt;S43,T4,T3))</f>
        <v>Permanent Partial Disability Determination
for dates of injury before 1/1/2005</v>
      </c>
      <c r="C3" s="920"/>
      <c r="D3" s="920"/>
      <c r="E3" s="920"/>
      <c r="F3" s="921"/>
      <c r="G3" s="920"/>
      <c r="H3" s="920"/>
      <c r="I3" s="920"/>
      <c r="J3" s="920"/>
      <c r="K3" s="920"/>
      <c r="L3" s="920"/>
      <c r="M3" s="920"/>
      <c r="N3" s="920"/>
      <c r="O3" s="920"/>
      <c r="P3" s="920"/>
      <c r="Q3" s="920"/>
      <c r="T3" s="58" t="s">
        <v>2184</v>
      </c>
    </row>
    <row r="4" spans="1:170" ht="18" customHeight="1" x14ac:dyDescent="0.35">
      <c r="B4" s="924" t="s">
        <v>1133</v>
      </c>
      <c r="C4" s="924"/>
      <c r="D4" s="924"/>
      <c r="E4" s="924"/>
      <c r="F4" s="924"/>
      <c r="G4" s="924"/>
      <c r="H4" s="924"/>
      <c r="I4" s="924"/>
      <c r="J4" s="924"/>
      <c r="K4" s="924"/>
      <c r="L4" s="924"/>
      <c r="M4" s="924"/>
      <c r="N4" s="924"/>
      <c r="O4" s="924"/>
      <c r="P4" s="924"/>
      <c r="Q4" s="924"/>
      <c r="T4" s="2" t="s">
        <v>2183</v>
      </c>
    </row>
    <row r="5" spans="1:170" ht="25.5" customHeight="1" x14ac:dyDescent="0.3">
      <c r="B5" s="19" t="s">
        <v>67</v>
      </c>
      <c r="C5" s="925" t="s">
        <v>1795</v>
      </c>
      <c r="D5" s="925"/>
      <c r="E5" s="925"/>
      <c r="F5" s="18"/>
      <c r="G5" s="922" t="s">
        <v>1059</v>
      </c>
      <c r="H5" s="926"/>
      <c r="I5" s="923"/>
      <c r="J5" s="18"/>
      <c r="K5" s="927" t="s">
        <v>365</v>
      </c>
      <c r="L5" s="927"/>
      <c r="M5" s="19"/>
      <c r="N5" s="922" t="s">
        <v>1889</v>
      </c>
      <c r="O5" s="923"/>
      <c r="P5" s="272"/>
      <c r="Q5" s="18" t="s">
        <v>1191</v>
      </c>
    </row>
    <row r="6" spans="1:170" ht="17.5" customHeight="1" x14ac:dyDescent="0.3">
      <c r="B6" s="150" t="s">
        <v>889</v>
      </c>
      <c r="C6" s="780">
        <f>'Upper Extremity-Right'!R636</f>
        <v>0</v>
      </c>
      <c r="D6" s="781"/>
      <c r="E6" s="782"/>
      <c r="F6" s="18" t="s">
        <v>1790</v>
      </c>
      <c r="G6" s="746">
        <v>192</v>
      </c>
      <c r="H6" s="746"/>
      <c r="I6" s="746"/>
      <c r="J6" s="18" t="s">
        <v>1792</v>
      </c>
      <c r="K6" s="897">
        <f t="shared" ref="K6:K14" si="0">ROUND(C6*G6,2)</f>
        <v>0</v>
      </c>
      <c r="L6" s="898"/>
      <c r="M6" s="18" t="s">
        <v>1790</v>
      </c>
      <c r="N6" s="760">
        <f>IF(C6&gt;0,'Dol Per Deg'!$H$11,0)</f>
        <v>0</v>
      </c>
      <c r="O6" s="861"/>
      <c r="P6" s="18" t="s">
        <v>1792</v>
      </c>
      <c r="Q6" s="156">
        <f t="shared" ref="Q6:Q33" si="1">ROUND(K6*N6,2)</f>
        <v>0</v>
      </c>
      <c r="T6" s="2" t="s">
        <v>364</v>
      </c>
    </row>
    <row r="7" spans="1:170" ht="17.5" customHeight="1" x14ac:dyDescent="0.3">
      <c r="B7" s="150" t="s">
        <v>615</v>
      </c>
      <c r="C7" s="742">
        <f>'Upper Extremity-Right'!R635</f>
        <v>0</v>
      </c>
      <c r="D7" s="743"/>
      <c r="E7" s="744"/>
      <c r="F7" s="18" t="s">
        <v>1790</v>
      </c>
      <c r="G7" s="747">
        <v>150</v>
      </c>
      <c r="H7" s="751"/>
      <c r="I7" s="752"/>
      <c r="J7" s="18" t="s">
        <v>1792</v>
      </c>
      <c r="K7" s="897">
        <f t="shared" si="0"/>
        <v>0</v>
      </c>
      <c r="L7" s="898"/>
      <c r="M7" s="18" t="s">
        <v>1790</v>
      </c>
      <c r="N7" s="760">
        <f>IF(C7&gt;0,'Dol Per Deg'!$H$11,0)</f>
        <v>0</v>
      </c>
      <c r="O7" s="861"/>
      <c r="P7" s="18" t="s">
        <v>1792</v>
      </c>
      <c r="Q7" s="156">
        <f t="shared" si="1"/>
        <v>0</v>
      </c>
      <c r="T7" s="2" t="s">
        <v>1216</v>
      </c>
    </row>
    <row r="8" spans="1:170" ht="17.5" customHeight="1" x14ac:dyDescent="0.3">
      <c r="B8" s="150" t="s">
        <v>1936</v>
      </c>
      <c r="C8" s="742">
        <f>'Upper Extremity-Right'!R630</f>
        <v>0</v>
      </c>
      <c r="D8" s="743"/>
      <c r="E8" s="744"/>
      <c r="F8" s="18" t="s">
        <v>1790</v>
      </c>
      <c r="G8" s="747">
        <v>48</v>
      </c>
      <c r="H8" s="751"/>
      <c r="I8" s="752"/>
      <c r="J8" s="18" t="s">
        <v>1792</v>
      </c>
      <c r="K8" s="897">
        <f t="shared" si="0"/>
        <v>0</v>
      </c>
      <c r="L8" s="898"/>
      <c r="M8" s="18" t="s">
        <v>1790</v>
      </c>
      <c r="N8" s="760">
        <f>IF(C8&gt;0,'Dol Per Deg'!$H$11,0)</f>
        <v>0</v>
      </c>
      <c r="O8" s="861"/>
      <c r="P8" s="18" t="s">
        <v>1792</v>
      </c>
      <c r="Q8" s="156">
        <f t="shared" si="1"/>
        <v>0</v>
      </c>
      <c r="T8" s="2" t="s">
        <v>1182</v>
      </c>
    </row>
    <row r="9" spans="1:170" ht="17.5" customHeight="1" x14ac:dyDescent="0.3">
      <c r="B9" s="150" t="s">
        <v>115</v>
      </c>
      <c r="C9" s="742">
        <f>'Upper Extremity-Right'!R631</f>
        <v>0</v>
      </c>
      <c r="D9" s="743"/>
      <c r="E9" s="744"/>
      <c r="F9" s="18" t="s">
        <v>1790</v>
      </c>
      <c r="G9" s="747">
        <v>24</v>
      </c>
      <c r="H9" s="751"/>
      <c r="I9" s="752"/>
      <c r="J9" s="18" t="s">
        <v>1792</v>
      </c>
      <c r="K9" s="897">
        <f t="shared" si="0"/>
        <v>0</v>
      </c>
      <c r="L9" s="898"/>
      <c r="M9" s="18" t="s">
        <v>1790</v>
      </c>
      <c r="N9" s="760">
        <f>IF(C9&gt;0,'Dol Per Deg'!$H$11,0)</f>
        <v>0</v>
      </c>
      <c r="O9" s="861"/>
      <c r="P9" s="18" t="s">
        <v>1792</v>
      </c>
      <c r="Q9" s="156">
        <f t="shared" si="1"/>
        <v>0</v>
      </c>
      <c r="T9" s="2" t="s">
        <v>957</v>
      </c>
    </row>
    <row r="10" spans="1:170" ht="17.5" customHeight="1" x14ac:dyDescent="0.3">
      <c r="B10" s="150" t="s">
        <v>117</v>
      </c>
      <c r="C10" s="742">
        <f>'Upper Extremity-Right'!R632</f>
        <v>0</v>
      </c>
      <c r="D10" s="743"/>
      <c r="E10" s="744"/>
      <c r="F10" s="18" t="s">
        <v>1790</v>
      </c>
      <c r="G10" s="747">
        <v>22</v>
      </c>
      <c r="H10" s="751"/>
      <c r="I10" s="752"/>
      <c r="J10" s="18" t="s">
        <v>1792</v>
      </c>
      <c r="K10" s="897">
        <f t="shared" si="0"/>
        <v>0</v>
      </c>
      <c r="L10" s="898"/>
      <c r="M10" s="18" t="s">
        <v>1790</v>
      </c>
      <c r="N10" s="760">
        <f>IF(C10&gt;0,'Dol Per Deg'!$H$11,0)</f>
        <v>0</v>
      </c>
      <c r="O10" s="861"/>
      <c r="P10" s="18" t="s">
        <v>1792</v>
      </c>
      <c r="Q10" s="156">
        <f t="shared" si="1"/>
        <v>0</v>
      </c>
      <c r="T10" s="2" t="s">
        <v>886</v>
      </c>
    </row>
    <row r="11" spans="1:170" ht="17.5" customHeight="1" x14ac:dyDescent="0.3">
      <c r="B11" s="150" t="s">
        <v>119</v>
      </c>
      <c r="C11" s="742">
        <f>'Upper Extremity-Right'!R633</f>
        <v>0</v>
      </c>
      <c r="D11" s="743"/>
      <c r="E11" s="744"/>
      <c r="F11" s="18" t="s">
        <v>1790</v>
      </c>
      <c r="G11" s="747">
        <v>10</v>
      </c>
      <c r="H11" s="751"/>
      <c r="I11" s="752"/>
      <c r="J11" s="18" t="s">
        <v>1792</v>
      </c>
      <c r="K11" s="897">
        <f t="shared" si="0"/>
        <v>0</v>
      </c>
      <c r="L11" s="898"/>
      <c r="M11" s="18" t="s">
        <v>1790</v>
      </c>
      <c r="N11" s="760">
        <f>IF(C11&gt;0,'Dol Per Deg'!$H$11,0)</f>
        <v>0</v>
      </c>
      <c r="O11" s="861"/>
      <c r="P11" s="18" t="s">
        <v>1792</v>
      </c>
      <c r="Q11" s="156">
        <f t="shared" si="1"/>
        <v>0</v>
      </c>
    </row>
    <row r="12" spans="1:170" ht="17.5" customHeight="1" x14ac:dyDescent="0.3">
      <c r="B12" s="150" t="s">
        <v>1389</v>
      </c>
      <c r="C12" s="742">
        <f>'Upper Extremity-Right'!R634</f>
        <v>0</v>
      </c>
      <c r="D12" s="743"/>
      <c r="E12" s="744"/>
      <c r="F12" s="18" t="s">
        <v>1790</v>
      </c>
      <c r="G12" s="747">
        <v>6</v>
      </c>
      <c r="H12" s="751"/>
      <c r="I12" s="752"/>
      <c r="J12" s="18" t="s">
        <v>1792</v>
      </c>
      <c r="K12" s="897">
        <f t="shared" si="0"/>
        <v>0</v>
      </c>
      <c r="L12" s="898"/>
      <c r="M12" s="18" t="s">
        <v>1790</v>
      </c>
      <c r="N12" s="760">
        <f>IF(C12&gt;0,'Dol Per Deg'!$H$11,0)</f>
        <v>0</v>
      </c>
      <c r="O12" s="861"/>
      <c r="P12" s="18" t="s">
        <v>1792</v>
      </c>
      <c r="Q12" s="156">
        <f t="shared" si="1"/>
        <v>0</v>
      </c>
      <c r="T12" s="10" t="s">
        <v>2155</v>
      </c>
    </row>
    <row r="13" spans="1:170" ht="17.5" customHeight="1" x14ac:dyDescent="0.3">
      <c r="B13" s="150" t="s">
        <v>1931</v>
      </c>
      <c r="C13" s="742">
        <f>'Upper Extremity-Left'!R636</f>
        <v>0</v>
      </c>
      <c r="D13" s="751"/>
      <c r="E13" s="752"/>
      <c r="F13" s="18" t="s">
        <v>1790</v>
      </c>
      <c r="G13" s="747">
        <v>192</v>
      </c>
      <c r="H13" s="751"/>
      <c r="I13" s="752"/>
      <c r="J13" s="18" t="s">
        <v>1792</v>
      </c>
      <c r="K13" s="897">
        <f t="shared" si="0"/>
        <v>0</v>
      </c>
      <c r="L13" s="898"/>
      <c r="M13" s="18" t="s">
        <v>1790</v>
      </c>
      <c r="N13" s="760">
        <f>IF(C13&gt;0,'Dol Per Deg'!$H$11,0)</f>
        <v>0</v>
      </c>
      <c r="O13" s="861"/>
      <c r="P13" s="18" t="s">
        <v>1792</v>
      </c>
      <c r="Q13" s="156">
        <f t="shared" si="1"/>
        <v>0</v>
      </c>
      <c r="T13" s="10" t="s">
        <v>2156</v>
      </c>
    </row>
    <row r="14" spans="1:170" ht="17.5" customHeight="1" x14ac:dyDescent="0.3">
      <c r="B14" s="150" t="s">
        <v>1535</v>
      </c>
      <c r="C14" s="742">
        <f>'Upper Extremity-Left'!R635</f>
        <v>0</v>
      </c>
      <c r="D14" s="751"/>
      <c r="E14" s="752"/>
      <c r="F14" s="18" t="s">
        <v>1790</v>
      </c>
      <c r="G14" s="747">
        <v>150</v>
      </c>
      <c r="H14" s="751"/>
      <c r="I14" s="752"/>
      <c r="J14" s="18" t="s">
        <v>1792</v>
      </c>
      <c r="K14" s="897">
        <f t="shared" si="0"/>
        <v>0</v>
      </c>
      <c r="L14" s="898"/>
      <c r="M14" s="18" t="s">
        <v>1790</v>
      </c>
      <c r="N14" s="760">
        <f>IF(C14&gt;0,'Dol Per Deg'!$H$11,0)</f>
        <v>0</v>
      </c>
      <c r="O14" s="861"/>
      <c r="P14" s="18" t="s">
        <v>1792</v>
      </c>
      <c r="Q14" s="156">
        <f t="shared" si="1"/>
        <v>0</v>
      </c>
      <c r="T14" s="1"/>
    </row>
    <row r="15" spans="1:170" ht="17.5" customHeight="1" x14ac:dyDescent="0.3">
      <c r="B15" s="150" t="s">
        <v>942</v>
      </c>
      <c r="C15" s="742">
        <f>'Upper Extremity-Left'!R630</f>
        <v>0</v>
      </c>
      <c r="D15" s="751"/>
      <c r="E15" s="752"/>
      <c r="F15" s="18" t="s">
        <v>1790</v>
      </c>
      <c r="G15" s="747">
        <v>48</v>
      </c>
      <c r="H15" s="751"/>
      <c r="I15" s="752"/>
      <c r="J15" s="18" t="s">
        <v>1792</v>
      </c>
      <c r="K15" s="897">
        <f>ROUND(C15*G15,2)</f>
        <v>0</v>
      </c>
      <c r="L15" s="898"/>
      <c r="M15" s="18" t="s">
        <v>1790</v>
      </c>
      <c r="N15" s="760">
        <f>IF(C15&gt;0,'Dol Per Deg'!$H$11,0)</f>
        <v>0</v>
      </c>
      <c r="O15" s="861"/>
      <c r="P15" s="18" t="s">
        <v>1792</v>
      </c>
      <c r="Q15" s="156">
        <f t="shared" si="1"/>
        <v>0</v>
      </c>
      <c r="T15" s="1"/>
    </row>
    <row r="16" spans="1:170" ht="17.5" customHeight="1" x14ac:dyDescent="0.3">
      <c r="B16" s="150" t="s">
        <v>1415</v>
      </c>
      <c r="C16" s="742">
        <f>'Upper Extremity-Left'!R631</f>
        <v>0</v>
      </c>
      <c r="D16" s="751"/>
      <c r="E16" s="752"/>
      <c r="F16" s="18" t="s">
        <v>1790</v>
      </c>
      <c r="G16" s="747">
        <v>24</v>
      </c>
      <c r="H16" s="751"/>
      <c r="I16" s="752"/>
      <c r="J16" s="18" t="s">
        <v>1792</v>
      </c>
      <c r="K16" s="897">
        <f>ROUND(C16*G16,2)</f>
        <v>0</v>
      </c>
      <c r="L16" s="898"/>
      <c r="M16" s="18" t="s">
        <v>1790</v>
      </c>
      <c r="N16" s="760">
        <f>IF(C16&gt;0,'Dol Per Deg'!$H$11,0)</f>
        <v>0</v>
      </c>
      <c r="O16" s="861"/>
      <c r="P16" s="18" t="s">
        <v>1792</v>
      </c>
      <c r="Q16" s="156">
        <f t="shared" si="1"/>
        <v>0</v>
      </c>
      <c r="T16" s="1"/>
    </row>
    <row r="17" spans="2:33" ht="17.5" customHeight="1" x14ac:dyDescent="0.3">
      <c r="B17" s="150" t="s">
        <v>584</v>
      </c>
      <c r="C17" s="742">
        <f>'Upper Extremity-Left'!R632</f>
        <v>0</v>
      </c>
      <c r="D17" s="751"/>
      <c r="E17" s="752"/>
      <c r="F17" s="18" t="s">
        <v>1790</v>
      </c>
      <c r="G17" s="747">
        <v>22</v>
      </c>
      <c r="H17" s="751"/>
      <c r="I17" s="752"/>
      <c r="J17" s="18" t="s">
        <v>1792</v>
      </c>
      <c r="K17" s="897">
        <f>ROUND(C17*G17,2)</f>
        <v>0</v>
      </c>
      <c r="L17" s="898"/>
      <c r="M17" s="18" t="s">
        <v>1790</v>
      </c>
      <c r="N17" s="760">
        <f>IF(C17&gt;0,'Dol Per Deg'!$H$11,0)</f>
        <v>0</v>
      </c>
      <c r="O17" s="861"/>
      <c r="P17" s="18" t="s">
        <v>1792</v>
      </c>
      <c r="Q17" s="156">
        <f t="shared" si="1"/>
        <v>0</v>
      </c>
      <c r="T17" s="1"/>
    </row>
    <row r="18" spans="2:33" ht="17.5" customHeight="1" x14ac:dyDescent="0.3">
      <c r="B18" s="150" t="s">
        <v>1453</v>
      </c>
      <c r="C18" s="742">
        <f>'Upper Extremity-Left'!R633</f>
        <v>0</v>
      </c>
      <c r="D18" s="751"/>
      <c r="E18" s="752"/>
      <c r="F18" s="18" t="s">
        <v>1790</v>
      </c>
      <c r="G18" s="747">
        <v>10</v>
      </c>
      <c r="H18" s="751"/>
      <c r="I18" s="752"/>
      <c r="J18" s="18" t="s">
        <v>1792</v>
      </c>
      <c r="K18" s="897">
        <f>ROUND(C18*G18,2)</f>
        <v>0</v>
      </c>
      <c r="L18" s="898"/>
      <c r="M18" s="18" t="s">
        <v>1790</v>
      </c>
      <c r="N18" s="760">
        <f>IF(C18&gt;0,'Dol Per Deg'!$H$11,0)</f>
        <v>0</v>
      </c>
      <c r="O18" s="861"/>
      <c r="P18" s="18" t="s">
        <v>1792</v>
      </c>
      <c r="Q18" s="156">
        <f t="shared" si="1"/>
        <v>0</v>
      </c>
      <c r="T18" s="1"/>
    </row>
    <row r="19" spans="2:33" ht="17.5" customHeight="1" x14ac:dyDescent="0.3">
      <c r="B19" s="150" t="s">
        <v>1666</v>
      </c>
      <c r="C19" s="742">
        <f>'Upper Extremity-Left'!R634</f>
        <v>0</v>
      </c>
      <c r="D19" s="751"/>
      <c r="E19" s="752"/>
      <c r="F19" s="18" t="s">
        <v>1790</v>
      </c>
      <c r="G19" s="747">
        <v>6</v>
      </c>
      <c r="H19" s="751"/>
      <c r="I19" s="752"/>
      <c r="J19" s="18" t="s">
        <v>1792</v>
      </c>
      <c r="K19" s="897">
        <f>ROUND(C19*G19,2)</f>
        <v>0</v>
      </c>
      <c r="L19" s="898"/>
      <c r="M19" s="18" t="s">
        <v>1790</v>
      </c>
      <c r="N19" s="760">
        <f>IF(C19&gt;0,'Dol Per Deg'!$H$11,0)</f>
        <v>0</v>
      </c>
      <c r="O19" s="861"/>
      <c r="P19" s="18" t="s">
        <v>1792</v>
      </c>
      <c r="Q19" s="156">
        <f t="shared" si="1"/>
        <v>0</v>
      </c>
      <c r="T19" s="1"/>
    </row>
    <row r="20" spans="2:33" ht="17.5" customHeight="1" x14ac:dyDescent="0.3">
      <c r="B20" s="150" t="s">
        <v>1363</v>
      </c>
      <c r="C20" s="753">
        <f>'Lower Extremity-Right'!R499</f>
        <v>0</v>
      </c>
      <c r="D20" s="754"/>
      <c r="E20" s="755"/>
      <c r="F20" s="18" t="s">
        <v>1790</v>
      </c>
      <c r="G20" s="746">
        <v>150</v>
      </c>
      <c r="H20" s="746"/>
      <c r="I20" s="746"/>
      <c r="J20" s="18" t="s">
        <v>1792</v>
      </c>
      <c r="K20" s="897">
        <f t="shared" ref="K20:K26" si="2">ROUND(C20*G20,2)</f>
        <v>0</v>
      </c>
      <c r="L20" s="898"/>
      <c r="M20" s="18" t="s">
        <v>1790</v>
      </c>
      <c r="N20" s="760">
        <f>IF(C20&gt;0,'Dol Per Deg'!$H$11,0)</f>
        <v>0</v>
      </c>
      <c r="O20" s="861"/>
      <c r="P20" s="18" t="s">
        <v>1792</v>
      </c>
      <c r="Q20" s="156">
        <f t="shared" si="1"/>
        <v>0</v>
      </c>
      <c r="T20" s="1"/>
    </row>
    <row r="21" spans="2:33" ht="17.5" customHeight="1" x14ac:dyDescent="0.3">
      <c r="B21" s="150" t="s">
        <v>1344</v>
      </c>
      <c r="C21" s="753">
        <f>'Lower Extremity-Right'!R498</f>
        <v>0</v>
      </c>
      <c r="D21" s="754"/>
      <c r="E21" s="755"/>
      <c r="F21" s="18" t="s">
        <v>1790</v>
      </c>
      <c r="G21" s="746">
        <v>135</v>
      </c>
      <c r="H21" s="746"/>
      <c r="I21" s="746"/>
      <c r="J21" s="18" t="s">
        <v>1792</v>
      </c>
      <c r="K21" s="897">
        <f t="shared" si="2"/>
        <v>0</v>
      </c>
      <c r="L21" s="898"/>
      <c r="M21" s="18" t="s">
        <v>1790</v>
      </c>
      <c r="N21" s="760">
        <f>IF(C21&gt;0,'Dol Per Deg'!$H$11,0)</f>
        <v>0</v>
      </c>
      <c r="O21" s="861"/>
      <c r="P21" s="18" t="s">
        <v>1792</v>
      </c>
      <c r="Q21" s="156">
        <f t="shared" si="1"/>
        <v>0</v>
      </c>
      <c r="T21" s="1"/>
      <c r="AA21" s="24"/>
      <c r="AC21" s="8"/>
      <c r="AE21" s="96"/>
      <c r="AG21" s="96"/>
    </row>
    <row r="22" spans="2:33" ht="17.5" customHeight="1" x14ac:dyDescent="0.3">
      <c r="B22" s="150" t="s">
        <v>1358</v>
      </c>
      <c r="C22" s="753">
        <f>'Lower Extremity-Right'!R493</f>
        <v>0</v>
      </c>
      <c r="D22" s="754"/>
      <c r="E22" s="755"/>
      <c r="F22" s="18" t="s">
        <v>1790</v>
      </c>
      <c r="G22" s="747">
        <v>18</v>
      </c>
      <c r="H22" s="751"/>
      <c r="I22" s="752"/>
      <c r="J22" s="18" t="s">
        <v>1792</v>
      </c>
      <c r="K22" s="897">
        <f t="shared" si="2"/>
        <v>0</v>
      </c>
      <c r="L22" s="898"/>
      <c r="M22" s="18" t="s">
        <v>1790</v>
      </c>
      <c r="N22" s="760">
        <f>IF(C22&gt;0,'Dol Per Deg'!$H$11,0)</f>
        <v>0</v>
      </c>
      <c r="O22" s="861"/>
      <c r="P22" s="18" t="s">
        <v>1792</v>
      </c>
      <c r="Q22" s="156">
        <f t="shared" si="1"/>
        <v>0</v>
      </c>
      <c r="T22" s="1"/>
      <c r="AA22" s="24"/>
      <c r="AC22" s="8"/>
      <c r="AE22" s="96"/>
      <c r="AG22" s="96"/>
    </row>
    <row r="23" spans="2:33" ht="17.5" customHeight="1" x14ac:dyDescent="0.3">
      <c r="B23" s="150" t="s">
        <v>240</v>
      </c>
      <c r="C23" s="753">
        <f>'Lower Extremity-Right'!R494</f>
        <v>0</v>
      </c>
      <c r="D23" s="754"/>
      <c r="E23" s="755"/>
      <c r="F23" s="18" t="s">
        <v>1790</v>
      </c>
      <c r="G23" s="747">
        <v>4</v>
      </c>
      <c r="H23" s="751"/>
      <c r="I23" s="752"/>
      <c r="J23" s="18" t="s">
        <v>1792</v>
      </c>
      <c r="K23" s="897">
        <f t="shared" si="2"/>
        <v>0</v>
      </c>
      <c r="L23" s="898"/>
      <c r="M23" s="18" t="s">
        <v>1790</v>
      </c>
      <c r="N23" s="760">
        <f>IF(C23&gt;0,'Dol Per Deg'!$H$11,0)</f>
        <v>0</v>
      </c>
      <c r="O23" s="861"/>
      <c r="P23" s="18" t="s">
        <v>1792</v>
      </c>
      <c r="Q23" s="156">
        <f t="shared" si="1"/>
        <v>0</v>
      </c>
      <c r="T23" s="1"/>
      <c r="AA23" s="24"/>
      <c r="AC23" s="8"/>
      <c r="AE23" s="96"/>
      <c r="AG23" s="96"/>
    </row>
    <row r="24" spans="2:33" ht="17.5" customHeight="1" x14ac:dyDescent="0.3">
      <c r="B24" s="150" t="s">
        <v>241</v>
      </c>
      <c r="C24" s="753">
        <f>'Lower Extremity-Right'!R495</f>
        <v>0</v>
      </c>
      <c r="D24" s="754"/>
      <c r="E24" s="755"/>
      <c r="F24" s="18" t="s">
        <v>1790</v>
      </c>
      <c r="G24" s="746">
        <v>4</v>
      </c>
      <c r="H24" s="746"/>
      <c r="I24" s="746"/>
      <c r="J24" s="18" t="s">
        <v>1792</v>
      </c>
      <c r="K24" s="897">
        <f t="shared" si="2"/>
        <v>0</v>
      </c>
      <c r="L24" s="898"/>
      <c r="M24" s="18" t="s">
        <v>1790</v>
      </c>
      <c r="N24" s="760">
        <f>IF(C24&gt;0,'Dol Per Deg'!$H$11,0)</f>
        <v>0</v>
      </c>
      <c r="O24" s="861"/>
      <c r="P24" s="18" t="s">
        <v>1792</v>
      </c>
      <c r="Q24" s="156">
        <f t="shared" si="1"/>
        <v>0</v>
      </c>
      <c r="T24" s="1"/>
      <c r="AA24" s="24"/>
      <c r="AC24" s="8"/>
      <c r="AE24" s="96"/>
      <c r="AG24" s="96"/>
    </row>
    <row r="25" spans="2:33" ht="17.5" customHeight="1" x14ac:dyDescent="0.35">
      <c r="B25" s="150" t="s">
        <v>242</v>
      </c>
      <c r="C25" s="753">
        <f>'Lower Extremity-Right'!R496</f>
        <v>0</v>
      </c>
      <c r="D25" s="754"/>
      <c r="E25" s="755"/>
      <c r="F25" s="18" t="s">
        <v>1790</v>
      </c>
      <c r="G25" s="746">
        <v>4</v>
      </c>
      <c r="H25" s="746"/>
      <c r="I25" s="746"/>
      <c r="J25" s="18" t="s">
        <v>1792</v>
      </c>
      <c r="K25" s="897">
        <f t="shared" si="2"/>
        <v>0</v>
      </c>
      <c r="L25" s="898"/>
      <c r="M25" s="18" t="s">
        <v>1790</v>
      </c>
      <c r="N25" s="760">
        <f>IF(C25&gt;0,'Dol Per Deg'!$H$11,0)</f>
        <v>0</v>
      </c>
      <c r="O25" s="861"/>
      <c r="P25" s="18" t="s">
        <v>1792</v>
      </c>
      <c r="Q25" s="156">
        <f t="shared" si="1"/>
        <v>0</v>
      </c>
      <c r="T25" s="1"/>
      <c r="AA25" s="24"/>
      <c r="AC25" s="166"/>
      <c r="AE25" s="166"/>
      <c r="AG25" s="166"/>
    </row>
    <row r="26" spans="2:33" ht="17.5" customHeight="1" x14ac:dyDescent="0.3">
      <c r="B26" s="150" t="s">
        <v>243</v>
      </c>
      <c r="C26" s="753">
        <f>'Lower Extremity-Right'!R497</f>
        <v>0</v>
      </c>
      <c r="D26" s="754"/>
      <c r="E26" s="755"/>
      <c r="F26" s="18" t="s">
        <v>1790</v>
      </c>
      <c r="G26" s="746">
        <v>4</v>
      </c>
      <c r="H26" s="746"/>
      <c r="I26" s="746"/>
      <c r="J26" s="18" t="s">
        <v>1792</v>
      </c>
      <c r="K26" s="897">
        <f t="shared" si="2"/>
        <v>0</v>
      </c>
      <c r="L26" s="898"/>
      <c r="M26" s="18" t="s">
        <v>1790</v>
      </c>
      <c r="N26" s="760">
        <f>IF(C26&gt;0,'Dol Per Deg'!$H$11,0)</f>
        <v>0</v>
      </c>
      <c r="O26" s="861"/>
      <c r="P26" s="18" t="s">
        <v>1792</v>
      </c>
      <c r="Q26" s="156">
        <f t="shared" si="1"/>
        <v>0</v>
      </c>
      <c r="T26" s="1"/>
      <c r="AA26" s="24"/>
      <c r="AC26" s="8"/>
      <c r="AE26" s="96"/>
      <c r="AG26" s="96"/>
    </row>
    <row r="27" spans="2:33" ht="17.5" customHeight="1" x14ac:dyDescent="0.3">
      <c r="B27" s="150" t="s">
        <v>1243</v>
      </c>
      <c r="C27" s="753">
        <f>'Lower Extremity-Left'!R499</f>
        <v>0</v>
      </c>
      <c r="D27" s="754"/>
      <c r="E27" s="755"/>
      <c r="F27" s="18" t="s">
        <v>1790</v>
      </c>
      <c r="G27" s="746">
        <v>150</v>
      </c>
      <c r="H27" s="746"/>
      <c r="I27" s="746"/>
      <c r="J27" s="18" t="s">
        <v>1792</v>
      </c>
      <c r="K27" s="897">
        <f t="shared" ref="K27:K33" si="3">ROUND(C27*G27,2)</f>
        <v>0</v>
      </c>
      <c r="L27" s="898"/>
      <c r="M27" s="18" t="s">
        <v>1790</v>
      </c>
      <c r="N27" s="760">
        <f>IF(C27&gt;0,'Dol Per Deg'!$H$11,0)</f>
        <v>0</v>
      </c>
      <c r="O27" s="861"/>
      <c r="P27" s="18" t="s">
        <v>1792</v>
      </c>
      <c r="Q27" s="156">
        <f t="shared" si="1"/>
        <v>0</v>
      </c>
      <c r="AA27" s="24"/>
      <c r="AC27" s="8"/>
      <c r="AE27" s="96"/>
      <c r="AG27" s="96"/>
    </row>
    <row r="28" spans="2:33" ht="17.5" customHeight="1" x14ac:dyDescent="0.3">
      <c r="B28" s="150" t="s">
        <v>476</v>
      </c>
      <c r="C28" s="753">
        <f>'Lower Extremity-Left'!R498</f>
        <v>0</v>
      </c>
      <c r="D28" s="754"/>
      <c r="E28" s="755"/>
      <c r="F28" s="18" t="s">
        <v>1790</v>
      </c>
      <c r="G28" s="746">
        <v>135</v>
      </c>
      <c r="H28" s="746"/>
      <c r="I28" s="746"/>
      <c r="J28" s="18" t="s">
        <v>1792</v>
      </c>
      <c r="K28" s="897">
        <f t="shared" si="3"/>
        <v>0</v>
      </c>
      <c r="L28" s="898"/>
      <c r="M28" s="18" t="s">
        <v>1790</v>
      </c>
      <c r="N28" s="760">
        <f>IF(C28&gt;0,'Dol Per Deg'!$H$11,0)</f>
        <v>0</v>
      </c>
      <c r="O28" s="861"/>
      <c r="P28" s="18" t="s">
        <v>1792</v>
      </c>
      <c r="Q28" s="156">
        <f t="shared" si="1"/>
        <v>0</v>
      </c>
      <c r="AA28" s="24"/>
      <c r="AC28" s="8"/>
      <c r="AE28" s="96"/>
      <c r="AG28" s="96"/>
    </row>
    <row r="29" spans="2:33" ht="17.5" customHeight="1" x14ac:dyDescent="0.3">
      <c r="B29" s="150" t="s">
        <v>1364</v>
      </c>
      <c r="C29" s="753">
        <f>'Lower Extremity-Left'!R493</f>
        <v>0</v>
      </c>
      <c r="D29" s="754"/>
      <c r="E29" s="755"/>
      <c r="F29" s="18" t="s">
        <v>1790</v>
      </c>
      <c r="G29" s="747">
        <v>18</v>
      </c>
      <c r="H29" s="751"/>
      <c r="I29" s="752"/>
      <c r="J29" s="18" t="s">
        <v>1792</v>
      </c>
      <c r="K29" s="897">
        <f t="shared" si="3"/>
        <v>0</v>
      </c>
      <c r="L29" s="898"/>
      <c r="M29" s="18" t="s">
        <v>1790</v>
      </c>
      <c r="N29" s="760">
        <f>IF(C29&gt;0,'Dol Per Deg'!$H$11,0)</f>
        <v>0</v>
      </c>
      <c r="O29" s="861"/>
      <c r="P29" s="18" t="s">
        <v>1792</v>
      </c>
      <c r="Q29" s="156">
        <f t="shared" si="1"/>
        <v>0</v>
      </c>
      <c r="AA29" s="24"/>
      <c r="AC29" s="8"/>
      <c r="AE29" s="96"/>
      <c r="AG29" s="96"/>
    </row>
    <row r="30" spans="2:33" ht="17.5" customHeight="1" x14ac:dyDescent="0.3">
      <c r="B30" s="150" t="s">
        <v>1365</v>
      </c>
      <c r="C30" s="753">
        <f>'Lower Extremity-Left'!R494</f>
        <v>0</v>
      </c>
      <c r="D30" s="754"/>
      <c r="E30" s="755"/>
      <c r="F30" s="18" t="s">
        <v>1790</v>
      </c>
      <c r="G30" s="747">
        <v>4</v>
      </c>
      <c r="H30" s="751"/>
      <c r="I30" s="752"/>
      <c r="J30" s="18" t="s">
        <v>1792</v>
      </c>
      <c r="K30" s="897">
        <f t="shared" si="3"/>
        <v>0</v>
      </c>
      <c r="L30" s="898"/>
      <c r="M30" s="18" t="s">
        <v>1790</v>
      </c>
      <c r="N30" s="760">
        <f>IF(C30&gt;0,'Dol Per Deg'!$H$11,0)</f>
        <v>0</v>
      </c>
      <c r="O30" s="861"/>
      <c r="P30" s="18" t="s">
        <v>1792</v>
      </c>
      <c r="Q30" s="156">
        <f t="shared" si="1"/>
        <v>0</v>
      </c>
      <c r="AA30" s="24"/>
      <c r="AC30" s="8"/>
      <c r="AE30" s="96"/>
      <c r="AG30" s="96"/>
    </row>
    <row r="31" spans="2:33" ht="17.5" customHeight="1" x14ac:dyDescent="0.3">
      <c r="B31" s="150" t="s">
        <v>1366</v>
      </c>
      <c r="C31" s="753">
        <f>'Lower Extremity-Left'!R495</f>
        <v>0</v>
      </c>
      <c r="D31" s="754"/>
      <c r="E31" s="755"/>
      <c r="F31" s="18" t="s">
        <v>1790</v>
      </c>
      <c r="G31" s="746">
        <v>4</v>
      </c>
      <c r="H31" s="746"/>
      <c r="I31" s="746"/>
      <c r="J31" s="18" t="s">
        <v>1792</v>
      </c>
      <c r="K31" s="897">
        <f t="shared" si="3"/>
        <v>0</v>
      </c>
      <c r="L31" s="898"/>
      <c r="M31" s="18" t="s">
        <v>1790</v>
      </c>
      <c r="N31" s="760">
        <f>IF(C31&gt;0,'Dol Per Deg'!$H$11,0)</f>
        <v>0</v>
      </c>
      <c r="O31" s="861"/>
      <c r="P31" s="18" t="s">
        <v>1792</v>
      </c>
      <c r="Q31" s="156">
        <f t="shared" si="1"/>
        <v>0</v>
      </c>
      <c r="AA31" s="24"/>
      <c r="AC31" s="8"/>
      <c r="AE31" s="96"/>
      <c r="AG31" s="96"/>
    </row>
    <row r="32" spans="2:33" ht="17.5" customHeight="1" x14ac:dyDescent="0.3">
      <c r="B32" s="150" t="s">
        <v>1367</v>
      </c>
      <c r="C32" s="753">
        <f>'Lower Extremity-Left'!R496</f>
        <v>0</v>
      </c>
      <c r="D32" s="754"/>
      <c r="E32" s="755"/>
      <c r="F32" s="18" t="s">
        <v>1790</v>
      </c>
      <c r="G32" s="746">
        <v>4</v>
      </c>
      <c r="H32" s="746"/>
      <c r="I32" s="746"/>
      <c r="J32" s="18" t="s">
        <v>1792</v>
      </c>
      <c r="K32" s="897">
        <f t="shared" si="3"/>
        <v>0</v>
      </c>
      <c r="L32" s="898"/>
      <c r="M32" s="18" t="s">
        <v>1790</v>
      </c>
      <c r="N32" s="760">
        <f>IF(C32&gt;0,'Dol Per Deg'!$H$11,0)</f>
        <v>0</v>
      </c>
      <c r="O32" s="861"/>
      <c r="P32" s="18" t="s">
        <v>1792</v>
      </c>
      <c r="Q32" s="156">
        <f t="shared" si="1"/>
        <v>0</v>
      </c>
      <c r="AA32" s="24"/>
      <c r="AC32" s="8"/>
      <c r="AE32" s="96"/>
      <c r="AG32" s="96"/>
    </row>
    <row r="33" spans="2:33" ht="17.5" customHeight="1" x14ac:dyDescent="0.3">
      <c r="B33" s="150" t="s">
        <v>1368</v>
      </c>
      <c r="C33" s="753">
        <f>'Lower Extremity-Left'!R497</f>
        <v>0</v>
      </c>
      <c r="D33" s="754"/>
      <c r="E33" s="755"/>
      <c r="F33" s="18" t="s">
        <v>1790</v>
      </c>
      <c r="G33" s="746">
        <v>4</v>
      </c>
      <c r="H33" s="746"/>
      <c r="I33" s="746"/>
      <c r="J33" s="18" t="s">
        <v>1792</v>
      </c>
      <c r="K33" s="897">
        <f t="shared" si="3"/>
        <v>0</v>
      </c>
      <c r="L33" s="898"/>
      <c r="M33" s="18" t="s">
        <v>1790</v>
      </c>
      <c r="N33" s="760">
        <f>IF(C33&gt;0,'Dol Per Deg'!$H$11,0)</f>
        <v>0</v>
      </c>
      <c r="O33" s="861"/>
      <c r="P33" s="18" t="s">
        <v>1792</v>
      </c>
      <c r="Q33" s="156">
        <f t="shared" si="1"/>
        <v>0</v>
      </c>
      <c r="AA33" s="24"/>
      <c r="AC33" s="8"/>
      <c r="AE33" s="96"/>
      <c r="AG33" s="96"/>
    </row>
    <row r="34" spans="2:33" ht="17.5" customHeight="1" x14ac:dyDescent="0.3">
      <c r="B34" s="150" t="s">
        <v>29</v>
      </c>
      <c r="C34" s="817">
        <f>Hearing!C44</f>
        <v>0</v>
      </c>
      <c r="D34" s="751"/>
      <c r="E34" s="752"/>
      <c r="F34" s="18" t="s">
        <v>1790</v>
      </c>
      <c r="G34" s="746">
        <v>60</v>
      </c>
      <c r="H34" s="746"/>
      <c r="I34" s="746"/>
      <c r="J34" s="18" t="s">
        <v>1792</v>
      </c>
      <c r="K34" s="897">
        <f t="shared" ref="K34:K39" si="4">ROUND(C34*G34,2)</f>
        <v>0</v>
      </c>
      <c r="L34" s="898"/>
      <c r="M34" s="18" t="s">
        <v>1790</v>
      </c>
      <c r="N34" s="760">
        <f>IF(C34&gt;0,'Dol Per Deg'!$H$11,0)</f>
        <v>0</v>
      </c>
      <c r="O34" s="861"/>
      <c r="P34" s="18" t="s">
        <v>1792</v>
      </c>
      <c r="Q34" s="168">
        <f>IF(T34=4,"See below.",ROUND(K34*N34,2))</f>
        <v>0</v>
      </c>
      <c r="T34" s="13">
        <f>Hearing!S50</f>
        <v>0</v>
      </c>
      <c r="AA34" s="24"/>
      <c r="AC34" s="8"/>
      <c r="AE34" s="96"/>
      <c r="AG34" s="96"/>
    </row>
    <row r="35" spans="2:33" ht="17.5" customHeight="1" x14ac:dyDescent="0.3">
      <c r="B35" s="150" t="s">
        <v>30</v>
      </c>
      <c r="C35" s="882">
        <f>Hearing!C45</f>
        <v>0</v>
      </c>
      <c r="D35" s="882"/>
      <c r="E35" s="882"/>
      <c r="F35" s="18" t="s">
        <v>1790</v>
      </c>
      <c r="G35" s="746">
        <v>60</v>
      </c>
      <c r="H35" s="746"/>
      <c r="I35" s="746"/>
      <c r="J35" s="18" t="s">
        <v>1792</v>
      </c>
      <c r="K35" s="860">
        <f t="shared" si="4"/>
        <v>0</v>
      </c>
      <c r="L35" s="860"/>
      <c r="M35" s="18" t="s">
        <v>1790</v>
      </c>
      <c r="N35" s="760">
        <f>IF(C35&gt;0,'Dol Per Deg'!$H$11,0)</f>
        <v>0</v>
      </c>
      <c r="O35" s="861"/>
      <c r="P35" s="18" t="s">
        <v>1792</v>
      </c>
      <c r="Q35" s="168">
        <f>IF(T34=4,"See below.",ROUND(K35*N35,2))</f>
        <v>0</v>
      </c>
      <c r="AA35" s="32"/>
      <c r="AC35" s="8"/>
      <c r="AE35" s="96"/>
      <c r="AG35" s="96"/>
    </row>
    <row r="36" spans="2:33" ht="17.5" customHeight="1" x14ac:dyDescent="0.3">
      <c r="B36" s="150" t="s">
        <v>1782</v>
      </c>
      <c r="C36" s="817">
        <f>IF(T34=4,Hearing!C52,0)</f>
        <v>0</v>
      </c>
      <c r="D36" s="899"/>
      <c r="E36" s="900"/>
      <c r="F36" s="18" t="s">
        <v>1790</v>
      </c>
      <c r="G36" s="746">
        <v>192</v>
      </c>
      <c r="H36" s="746"/>
      <c r="I36" s="746"/>
      <c r="J36" s="18" t="s">
        <v>1792</v>
      </c>
      <c r="K36" s="897">
        <f t="shared" si="4"/>
        <v>0</v>
      </c>
      <c r="L36" s="898"/>
      <c r="M36" s="18" t="s">
        <v>1790</v>
      </c>
      <c r="N36" s="760">
        <f>IF(C36&gt;0,'Dol Per Deg'!$H$11,0)</f>
        <v>0</v>
      </c>
      <c r="O36" s="861"/>
      <c r="P36" s="18" t="s">
        <v>1792</v>
      </c>
      <c r="Q36" s="156">
        <f>ROUND(K36*N36,2)</f>
        <v>0</v>
      </c>
      <c r="AA36" s="228"/>
      <c r="AC36" s="228"/>
      <c r="AE36" s="228"/>
      <c r="AG36" s="228"/>
    </row>
    <row r="37" spans="2:33" ht="17.5" customHeight="1" x14ac:dyDescent="0.3">
      <c r="B37" s="150" t="s">
        <v>137</v>
      </c>
      <c r="C37" s="882">
        <f>Vision!M85</f>
        <v>0</v>
      </c>
      <c r="D37" s="882"/>
      <c r="E37" s="882"/>
      <c r="F37" s="18" t="s">
        <v>1790</v>
      </c>
      <c r="G37" s="746">
        <v>100</v>
      </c>
      <c r="H37" s="746"/>
      <c r="I37" s="746"/>
      <c r="J37" s="18" t="s">
        <v>1792</v>
      </c>
      <c r="K37" s="860">
        <f t="shared" si="4"/>
        <v>0</v>
      </c>
      <c r="L37" s="860"/>
      <c r="M37" s="18" t="s">
        <v>1790</v>
      </c>
      <c r="N37" s="760">
        <f>IF(C37&gt;0,'Dol Per Deg'!$H$11,0)</f>
        <v>0</v>
      </c>
      <c r="O37" s="861"/>
      <c r="P37" s="18" t="s">
        <v>1792</v>
      </c>
      <c r="Q37" s="168">
        <f>IF(T37=4,"See below.",ROUND(K37*N37,2))</f>
        <v>0</v>
      </c>
      <c r="T37" s="558">
        <f>Vision!AL95</f>
        <v>0</v>
      </c>
      <c r="AA37" s="24"/>
      <c r="AC37" s="8"/>
      <c r="AE37" s="96"/>
      <c r="AG37" s="96"/>
    </row>
    <row r="38" spans="2:33" ht="17.5" customHeight="1" x14ac:dyDescent="0.3">
      <c r="B38" s="150" t="s">
        <v>138</v>
      </c>
      <c r="C38" s="882">
        <f>Vision!M86</f>
        <v>0</v>
      </c>
      <c r="D38" s="882"/>
      <c r="E38" s="882"/>
      <c r="F38" s="18" t="s">
        <v>1790</v>
      </c>
      <c r="G38" s="746">
        <v>100</v>
      </c>
      <c r="H38" s="746"/>
      <c r="I38" s="746"/>
      <c r="J38" s="18" t="s">
        <v>1792</v>
      </c>
      <c r="K38" s="860">
        <f t="shared" si="4"/>
        <v>0</v>
      </c>
      <c r="L38" s="860"/>
      <c r="M38" s="18" t="s">
        <v>1790</v>
      </c>
      <c r="N38" s="760">
        <f>IF(C38&gt;0,'Dol Per Deg'!$H$11,0)</f>
        <v>0</v>
      </c>
      <c r="O38" s="861"/>
      <c r="P38" s="18" t="s">
        <v>1792</v>
      </c>
      <c r="Q38" s="168">
        <f>IF(T37=4,"See below.",ROUND(K38*N38,2))</f>
        <v>0</v>
      </c>
      <c r="U38" s="169"/>
      <c r="AA38" s="24"/>
      <c r="AC38" s="8"/>
      <c r="AE38" s="96"/>
      <c r="AG38" s="96"/>
    </row>
    <row r="39" spans="2:33" ht="17.5" customHeight="1" x14ac:dyDescent="0.3">
      <c r="B39" s="150" t="s">
        <v>605</v>
      </c>
      <c r="C39" s="882">
        <f>IF(T37=4,Vision!M94,0)</f>
        <v>0</v>
      </c>
      <c r="D39" s="746"/>
      <c r="E39" s="746"/>
      <c r="F39" s="18" t="s">
        <v>1790</v>
      </c>
      <c r="G39" s="746">
        <v>300</v>
      </c>
      <c r="H39" s="746"/>
      <c r="I39" s="746"/>
      <c r="J39" s="18" t="s">
        <v>1792</v>
      </c>
      <c r="K39" s="860">
        <f t="shared" si="4"/>
        <v>0</v>
      </c>
      <c r="L39" s="860"/>
      <c r="M39" s="18" t="s">
        <v>1790</v>
      </c>
      <c r="N39" s="760">
        <f>IF(C39&gt;0,'Dol Per Deg'!$H$11,0)</f>
        <v>0</v>
      </c>
      <c r="O39" s="861"/>
      <c r="P39" s="170" t="s">
        <v>1792</v>
      </c>
      <c r="Q39" s="156">
        <f>ROUND(K39*N39,2)</f>
        <v>0</v>
      </c>
      <c r="AA39" s="24"/>
      <c r="AC39" s="8"/>
      <c r="AE39" s="96"/>
      <c r="AG39" s="96"/>
    </row>
    <row r="40" spans="2:33" ht="17.5" customHeight="1" x14ac:dyDescent="0.3">
      <c r="N40" s="878" t="s">
        <v>63</v>
      </c>
      <c r="O40" s="878"/>
      <c r="P40" s="878"/>
      <c r="Q40" s="227">
        <f>SUM(Q6:Q39)</f>
        <v>0</v>
      </c>
      <c r="Z40" s="10"/>
      <c r="AB40" s="10"/>
      <c r="AD40" s="10"/>
      <c r="AE40" s="10"/>
      <c r="AF40" s="10"/>
      <c r="AG40" s="10"/>
    </row>
    <row r="41" spans="2:33" ht="8.25" customHeight="1" x14ac:dyDescent="0.3">
      <c r="B41" s="792"/>
      <c r="C41" s="792"/>
      <c r="D41" s="792"/>
      <c r="E41" s="792"/>
      <c r="F41" s="792"/>
      <c r="G41" s="792"/>
      <c r="H41" s="792"/>
      <c r="I41" s="792"/>
      <c r="J41" s="792"/>
      <c r="K41" s="792"/>
      <c r="L41" s="792"/>
      <c r="M41" s="792"/>
      <c r="N41" s="792"/>
      <c r="O41" s="792"/>
      <c r="P41" s="792"/>
      <c r="Q41" s="792"/>
      <c r="Z41" s="10"/>
      <c r="AA41" s="32"/>
      <c r="AB41" s="10"/>
      <c r="AC41" s="8"/>
      <c r="AD41" s="10"/>
      <c r="AE41" s="10"/>
      <c r="AF41" s="10"/>
      <c r="AG41" s="10"/>
    </row>
    <row r="42" spans="2:33" ht="21" customHeight="1" x14ac:dyDescent="0.35">
      <c r="B42" s="924" t="s">
        <v>1132</v>
      </c>
      <c r="C42" s="924"/>
      <c r="D42" s="924"/>
      <c r="E42" s="924"/>
      <c r="F42" s="924"/>
      <c r="G42" s="924"/>
      <c r="H42" s="924"/>
      <c r="I42" s="924"/>
      <c r="J42" s="924"/>
      <c r="K42" s="924"/>
      <c r="L42" s="924"/>
      <c r="M42" s="924"/>
      <c r="N42" s="924"/>
      <c r="O42" s="924"/>
      <c r="P42" s="924"/>
      <c r="Q42" s="924"/>
      <c r="Z42" s="10"/>
      <c r="AA42" s="32"/>
      <c r="AB42" s="10"/>
      <c r="AC42" s="8"/>
      <c r="AD42" s="10"/>
      <c r="AE42" s="10"/>
      <c r="AF42" s="10"/>
      <c r="AG42" s="10"/>
    </row>
    <row r="43" spans="2:33" ht="21" customHeight="1" x14ac:dyDescent="0.3">
      <c r="G43" s="865" t="s">
        <v>1266</v>
      </c>
      <c r="H43" s="866"/>
      <c r="I43" s="866"/>
      <c r="J43" s="866"/>
      <c r="K43" s="866"/>
      <c r="L43" s="866"/>
      <c r="M43" s="866"/>
      <c r="N43" s="866"/>
      <c r="O43" s="866"/>
      <c r="P43" s="866"/>
      <c r="Q43" s="867"/>
      <c r="S43" s="334">
        <v>38352</v>
      </c>
      <c r="T43" s="146" t="s">
        <v>1304</v>
      </c>
      <c r="U43" s="146" t="s">
        <v>1305</v>
      </c>
      <c r="V43" s="146" t="s">
        <v>1306</v>
      </c>
    </row>
    <row r="44" spans="2:33" ht="21" customHeight="1" x14ac:dyDescent="0.3">
      <c r="B44" s="150" t="s">
        <v>27</v>
      </c>
      <c r="C44" s="770">
        <f>'Shoulder-Right'!P90</f>
        <v>0</v>
      </c>
      <c r="D44" s="746"/>
      <c r="E44" s="746"/>
      <c r="F44" s="1"/>
      <c r="G44" s="869"/>
      <c r="H44" s="868" t="s">
        <v>2212</v>
      </c>
      <c r="I44" s="868"/>
      <c r="J44" s="868"/>
      <c r="K44" s="868"/>
      <c r="L44" s="868"/>
      <c r="M44" s="868"/>
      <c r="N44" s="868"/>
      <c r="O44" s="868"/>
      <c r="P44" s="868"/>
      <c r="Q44" s="868"/>
      <c r="S44" s="556" t="b">
        <v>1</v>
      </c>
      <c r="T44" s="370">
        <f>LARGE($C$44:$C$62,1)</f>
        <v>0</v>
      </c>
      <c r="U44" s="559">
        <f>T44+T45*(1-T44)</f>
        <v>0</v>
      </c>
      <c r="V44" s="559">
        <f>ROUND(U44,2)</f>
        <v>0</v>
      </c>
    </row>
    <row r="45" spans="2:33" ht="21" customHeight="1" x14ac:dyDescent="0.3">
      <c r="B45" s="150" t="s">
        <v>1469</v>
      </c>
      <c r="C45" s="770">
        <f>'Shoulder-Left'!P90</f>
        <v>0</v>
      </c>
      <c r="D45" s="746"/>
      <c r="E45" s="746"/>
      <c r="F45" s="312"/>
      <c r="G45" s="870"/>
      <c r="H45" s="868"/>
      <c r="I45" s="868"/>
      <c r="J45" s="868"/>
      <c r="K45" s="868"/>
      <c r="L45" s="868"/>
      <c r="M45" s="868"/>
      <c r="N45" s="868"/>
      <c r="O45" s="868"/>
      <c r="P45" s="868"/>
      <c r="Q45" s="868"/>
      <c r="S45" s="556" t="b">
        <v>0</v>
      </c>
      <c r="T45" s="370">
        <f>LARGE($C$44:$C$62,2)</f>
        <v>0</v>
      </c>
      <c r="U45" s="559">
        <f>V44+T46*(1-V44)</f>
        <v>0</v>
      </c>
      <c r="V45" s="559">
        <f>ROUND(U45,2)</f>
        <v>0</v>
      </c>
    </row>
    <row r="46" spans="2:33" ht="21" customHeight="1" x14ac:dyDescent="0.3">
      <c r="B46" s="150" t="s">
        <v>1470</v>
      </c>
      <c r="C46" s="770">
        <f>'Hip-Right'!P32</f>
        <v>0</v>
      </c>
      <c r="D46" s="746"/>
      <c r="E46" s="746"/>
      <c r="F46" s="1"/>
      <c r="G46" s="870"/>
      <c r="H46" s="868"/>
      <c r="I46" s="868"/>
      <c r="J46" s="868"/>
      <c r="K46" s="868"/>
      <c r="L46" s="868"/>
      <c r="M46" s="868"/>
      <c r="N46" s="868"/>
      <c r="O46" s="868"/>
      <c r="P46" s="868"/>
      <c r="Q46" s="868"/>
      <c r="S46" s="556" t="b">
        <v>0</v>
      </c>
      <c r="T46" s="370">
        <f>LARGE($C$44:$C$62,3)</f>
        <v>0</v>
      </c>
      <c r="U46" s="559">
        <f>V45+T47*(1-V45)</f>
        <v>0</v>
      </c>
      <c r="V46" s="559">
        <f t="shared" ref="V46:V61" si="5">ROUND(U46,2)</f>
        <v>0</v>
      </c>
    </row>
    <row r="47" spans="2:33" ht="21" customHeight="1" x14ac:dyDescent="0.3">
      <c r="B47" s="150" t="s">
        <v>1471</v>
      </c>
      <c r="C47" s="770">
        <f>'Hip-Left'!P32</f>
        <v>0</v>
      </c>
      <c r="D47" s="746"/>
      <c r="E47" s="746"/>
      <c r="F47" s="1"/>
      <c r="G47" s="871"/>
      <c r="H47" s="868"/>
      <c r="I47" s="868"/>
      <c r="J47" s="868"/>
      <c r="K47" s="868"/>
      <c r="L47" s="868"/>
      <c r="M47" s="868"/>
      <c r="N47" s="868"/>
      <c r="O47" s="868"/>
      <c r="P47" s="868"/>
      <c r="Q47" s="868"/>
      <c r="S47" s="556" t="b">
        <v>0</v>
      </c>
      <c r="T47" s="370">
        <f>LARGE($C$44:$C$62,4)</f>
        <v>0</v>
      </c>
      <c r="U47" s="559">
        <f>V46+T48*(1-V46)</f>
        <v>0</v>
      </c>
      <c r="V47" s="559">
        <f t="shared" si="5"/>
        <v>0</v>
      </c>
    </row>
    <row r="48" spans="2:33" ht="18" customHeight="1" x14ac:dyDescent="0.3">
      <c r="B48" s="150" t="s">
        <v>1493</v>
      </c>
      <c r="C48" s="770">
        <f>Spine!P144</f>
        <v>0</v>
      </c>
      <c r="D48" s="746"/>
      <c r="E48" s="746"/>
      <c r="F48" s="1"/>
      <c r="G48" s="848" t="str">
        <f>IF(AND(S51=0,S52=0),T13,IF(AND(S51=1,S52=1),T12,IF(S51=1,T8,IF(S52=1,T9,""))))</f>
        <v>Because the worker has returned or been released to regular work, age, education, and adaptability are not considered in calculating the award</v>
      </c>
      <c r="H48" s="849"/>
      <c r="I48" s="849"/>
      <c r="J48" s="849"/>
      <c r="K48" s="849"/>
      <c r="L48" s="849"/>
      <c r="M48" s="849"/>
      <c r="N48" s="849"/>
      <c r="O48" s="849"/>
      <c r="P48" s="850"/>
      <c r="Q48" s="857" t="str">
        <f>IF(OR(Q66=0,S52=1),"",IF(N51="",T6,IF(AND(N53="",'Start here'!A10=""),"Enter date of issuance.",IF(N53&lt;N51,T7,IF(AND(S52=0,OR(N55="",N56="",N60="",N61="")),"Missing social-vocational data","")))))</f>
        <v/>
      </c>
      <c r="S48" s="146">
        <f>IF(S44=TRUE,1,0)</f>
        <v>1</v>
      </c>
      <c r="T48" s="370">
        <f>LARGE($C$44:$C$62,5)</f>
        <v>0</v>
      </c>
      <c r="U48" s="559">
        <f>V47+T49*(1-V47)</f>
        <v>0</v>
      </c>
      <c r="V48" s="559">
        <f t="shared" si="5"/>
        <v>0</v>
      </c>
    </row>
    <row r="49" spans="2:22" ht="18" customHeight="1" x14ac:dyDescent="0.3">
      <c r="B49" s="150" t="s">
        <v>1494</v>
      </c>
      <c r="C49" s="770">
        <f>Pelvis!P17</f>
        <v>0</v>
      </c>
      <c r="D49" s="746"/>
      <c r="E49" s="746"/>
      <c r="F49" s="1"/>
      <c r="G49" s="851"/>
      <c r="H49" s="852"/>
      <c r="I49" s="852"/>
      <c r="J49" s="852"/>
      <c r="K49" s="852"/>
      <c r="L49" s="852"/>
      <c r="M49" s="852"/>
      <c r="N49" s="852"/>
      <c r="O49" s="852"/>
      <c r="P49" s="853"/>
      <c r="Q49" s="858"/>
      <c r="S49" s="146">
        <f>IF(S45=TRUE,1,0)</f>
        <v>0</v>
      </c>
      <c r="T49" s="370">
        <f>LARGE($C$44:$C$62,6)</f>
        <v>0</v>
      </c>
      <c r="U49" s="559">
        <f>V48+T50*(1-V48)</f>
        <v>0</v>
      </c>
      <c r="V49" s="559">
        <f t="shared" si="5"/>
        <v>0</v>
      </c>
    </row>
    <row r="50" spans="2:22" ht="17.149999999999999" customHeight="1" x14ac:dyDescent="0.3">
      <c r="B50" s="150" t="s">
        <v>1492</v>
      </c>
      <c r="C50" s="770">
        <f>Abdomen!P7</f>
        <v>0</v>
      </c>
      <c r="D50" s="746"/>
      <c r="E50" s="746"/>
      <c r="F50" s="1"/>
      <c r="G50" s="854"/>
      <c r="H50" s="855"/>
      <c r="I50" s="855"/>
      <c r="J50" s="855"/>
      <c r="K50" s="855"/>
      <c r="L50" s="855"/>
      <c r="M50" s="855"/>
      <c r="N50" s="855"/>
      <c r="O50" s="855"/>
      <c r="P50" s="856"/>
      <c r="Q50" s="858"/>
      <c r="S50" s="146">
        <f>IF(S46=TRUE,1,0)</f>
        <v>0</v>
      </c>
      <c r="T50" s="370">
        <f>LARGE($C$44:$C$62,7)</f>
        <v>0</v>
      </c>
      <c r="U50" s="559">
        <f t="shared" ref="U50:U61" si="6">V49+T51*(1-V49)</f>
        <v>0</v>
      </c>
      <c r="V50" s="559">
        <f t="shared" si="5"/>
        <v>0</v>
      </c>
    </row>
    <row r="51" spans="2:22" ht="17.149999999999999" customHeight="1" x14ac:dyDescent="0.3">
      <c r="B51" s="150" t="s">
        <v>568</v>
      </c>
      <c r="C51" s="742">
        <f>Chest!P5</f>
        <v>0</v>
      </c>
      <c r="D51" s="743"/>
      <c r="E51" s="744"/>
      <c r="F51" s="1"/>
      <c r="G51" s="757" t="s">
        <v>363</v>
      </c>
      <c r="H51" s="758"/>
      <c r="I51" s="758"/>
      <c r="J51" s="758"/>
      <c r="K51" s="758"/>
      <c r="L51" s="758"/>
      <c r="M51" s="759"/>
      <c r="N51" s="774" t="str">
        <f>IF('Start here'!A8="","",'Start here'!A8)</f>
        <v/>
      </c>
      <c r="O51" s="774"/>
      <c r="P51" s="774"/>
      <c r="Q51" s="858"/>
      <c r="S51" s="146">
        <f>IF(S47=TRUE,1,0)</f>
        <v>0</v>
      </c>
      <c r="T51" s="370">
        <f>LARGE($C$44:$C$62,8)</f>
        <v>0</v>
      </c>
      <c r="U51" s="559">
        <f t="shared" si="6"/>
        <v>0</v>
      </c>
      <c r="V51" s="559">
        <f t="shared" si="5"/>
        <v>0</v>
      </c>
    </row>
    <row r="52" spans="2:22" ht="17.149999999999999" customHeight="1" x14ac:dyDescent="0.3">
      <c r="B52" s="150" t="s">
        <v>1097</v>
      </c>
      <c r="C52" s="770">
        <f>Cardiovascular!P12</f>
        <v>0</v>
      </c>
      <c r="D52" s="746"/>
      <c r="E52" s="746"/>
      <c r="F52" s="1"/>
      <c r="G52" s="797" t="s">
        <v>1318</v>
      </c>
      <c r="H52" s="798"/>
      <c r="I52" s="798"/>
      <c r="J52" s="798"/>
      <c r="K52" s="798"/>
      <c r="L52" s="798"/>
      <c r="M52" s="799"/>
      <c r="N52" s="774" t="str">
        <f>IF('Start here'!A9="","",'Start here'!A9)</f>
        <v/>
      </c>
      <c r="O52" s="774"/>
      <c r="P52" s="774"/>
      <c r="Q52" s="858"/>
      <c r="S52" s="146">
        <f>MAX(S48:S50)</f>
        <v>1</v>
      </c>
      <c r="T52" s="370">
        <f>LARGE($C$44:$C$62,9)</f>
        <v>0</v>
      </c>
      <c r="U52" s="559">
        <f t="shared" si="6"/>
        <v>0</v>
      </c>
      <c r="V52" s="559">
        <f t="shared" si="5"/>
        <v>0</v>
      </c>
    </row>
    <row r="53" spans="2:22" ht="17.149999999999999" customHeight="1" x14ac:dyDescent="0.3">
      <c r="B53" s="150" t="s">
        <v>1096</v>
      </c>
      <c r="C53" s="770">
        <f>Respiratory!P9</f>
        <v>0</v>
      </c>
      <c r="D53" s="746"/>
      <c r="E53" s="746"/>
      <c r="F53" s="1"/>
      <c r="G53" s="757" t="s">
        <v>1319</v>
      </c>
      <c r="H53" s="758"/>
      <c r="I53" s="758"/>
      <c r="J53" s="758"/>
      <c r="K53" s="758"/>
      <c r="L53" s="758"/>
      <c r="M53" s="759"/>
      <c r="N53" s="774" t="str">
        <f>IF('Start here'!A11="","",'Start here'!A11)</f>
        <v/>
      </c>
      <c r="O53" s="774"/>
      <c r="P53" s="774"/>
      <c r="Q53" s="859"/>
      <c r="T53" s="370">
        <f>LARGE($C$44:$C$62,10)</f>
        <v>0</v>
      </c>
      <c r="U53" s="559">
        <f t="shared" si="6"/>
        <v>0</v>
      </c>
      <c r="V53" s="559">
        <f t="shared" si="5"/>
        <v>0</v>
      </c>
    </row>
    <row r="54" spans="2:22" ht="23.25" customHeight="1" x14ac:dyDescent="0.3">
      <c r="B54" s="150" t="s">
        <v>1956</v>
      </c>
      <c r="C54" s="770">
        <f>'Cranial Nerves-Brain'!P51</f>
        <v>0</v>
      </c>
      <c r="D54" s="746"/>
      <c r="E54" s="746"/>
      <c r="F54" s="1"/>
      <c r="G54" s="757" t="str">
        <f>IF(S52=1,"Not applicable","Age 40 or above, add 1.")</f>
        <v>Not applicable</v>
      </c>
      <c r="H54" s="758"/>
      <c r="I54" s="758"/>
      <c r="J54" s="758"/>
      <c r="K54" s="758"/>
      <c r="L54" s="758"/>
      <c r="M54" s="759"/>
      <c r="N54" s="893" t="str">
        <f>IF(S52=1,"",IF(AND('Start here'!A9="",'Start here'!A10=""),"Enter DOB or age.",IF('Start here'!A11="","Enter date of issuance.",IF('Start here'!A9&lt;&gt;"",Y1,'Start here'!A10))))</f>
        <v/>
      </c>
      <c r="O54" s="894"/>
      <c r="P54" s="895"/>
      <c r="Q54" s="149" t="str">
        <f>IF(OR(S52=1,N54="",N54="Enter DOB or age."),"",IF(N54&gt;=40,1,0))</f>
        <v/>
      </c>
      <c r="T54" s="370">
        <f>LARGE($C$44:$C$62,11)</f>
        <v>0</v>
      </c>
      <c r="U54" s="559">
        <f t="shared" si="6"/>
        <v>0</v>
      </c>
      <c r="V54" s="559">
        <f t="shared" si="5"/>
        <v>0</v>
      </c>
    </row>
    <row r="55" spans="2:22" ht="17.149999999999999" customHeight="1" x14ac:dyDescent="0.3">
      <c r="B55" s="150" t="s">
        <v>274</v>
      </c>
      <c r="C55" s="770">
        <f>'Spinal cord'!P12</f>
        <v>0</v>
      </c>
      <c r="D55" s="746"/>
      <c r="E55" s="746"/>
      <c r="F55" s="1"/>
      <c r="G55" s="757" t="str">
        <f>IF(Q66=0,"No Unsched. PPD Entered",IF(S52=1,"Not applicable","Formal education &lt;12, add 1."))</f>
        <v>No Unsched. PPD Entered</v>
      </c>
      <c r="H55" s="758"/>
      <c r="I55" s="758"/>
      <c r="J55" s="758"/>
      <c r="K55" s="758"/>
      <c r="L55" s="758"/>
      <c r="M55" s="759"/>
      <c r="N55" s="740"/>
      <c r="O55" s="896"/>
      <c r="P55" s="741"/>
      <c r="Q55" s="149" t="str">
        <f>IF(OR(S52=1,N55=""),"",IF(N55=B79,0,IF(N55=C79,1,0)))</f>
        <v/>
      </c>
      <c r="T55" s="370">
        <f>LARGE($C$44:$C$62,12)</f>
        <v>0</v>
      </c>
      <c r="U55" s="559">
        <f t="shared" si="6"/>
        <v>0</v>
      </c>
      <c r="V55" s="559">
        <f t="shared" si="5"/>
        <v>0</v>
      </c>
    </row>
    <row r="56" spans="2:22" ht="17.149999999999999" customHeight="1" x14ac:dyDescent="0.3">
      <c r="B56" s="150" t="s">
        <v>1070</v>
      </c>
      <c r="C56" s="770">
        <f>'Mental illness'!P16</f>
        <v>0</v>
      </c>
      <c r="D56" s="746"/>
      <c r="E56" s="746"/>
      <c r="F56" s="1"/>
      <c r="G56" s="748" t="str">
        <f>IF(Q66=0,"No Unsched.PPD Entered",IF(S52=1,"Not applicable","Specific vocational preparation"))</f>
        <v>No Unsched.PPD Entered</v>
      </c>
      <c r="H56" s="749"/>
      <c r="I56" s="749"/>
      <c r="J56" s="749"/>
      <c r="K56" s="749"/>
      <c r="L56" s="749"/>
      <c r="M56" s="750"/>
      <c r="N56" s="745"/>
      <c r="O56" s="892"/>
      <c r="P56" s="835"/>
      <c r="Q56" s="149" t="str">
        <f>IF(OR(S52=1,N56=""),"",SUMIF(A81:J81,N56,A82:J82))</f>
        <v/>
      </c>
      <c r="T56" s="370">
        <f>LARGE($C$44:$C$62,13)</f>
        <v>0</v>
      </c>
      <c r="U56" s="559">
        <f t="shared" si="6"/>
        <v>0</v>
      </c>
      <c r="V56" s="559">
        <f t="shared" si="5"/>
        <v>0</v>
      </c>
    </row>
    <row r="57" spans="2:22" ht="18" customHeight="1" x14ac:dyDescent="0.3">
      <c r="B57" s="150" t="s">
        <v>1955</v>
      </c>
      <c r="C57" s="770">
        <f>Hematopoietic!P22</f>
        <v>0</v>
      </c>
      <c r="D57" s="746"/>
      <c r="E57" s="746"/>
      <c r="F57" s="1"/>
      <c r="G57" s="839" t="str">
        <f>IF(Q66=0,"Enter unscheduled disability data, if any, on worksheets.",IF(S52=1,"",IF(C63&gt;0,T10,"")))</f>
        <v>Enter unscheduled disability data, if any, on worksheets.</v>
      </c>
      <c r="H57" s="840"/>
      <c r="I57" s="840"/>
      <c r="J57" s="840"/>
      <c r="K57" s="840"/>
      <c r="L57" s="840"/>
      <c r="M57" s="840"/>
      <c r="N57" s="840"/>
      <c r="O57" s="840"/>
      <c r="P57" s="840"/>
      <c r="Q57" s="841"/>
      <c r="T57" s="370">
        <f>LARGE($C$44:$C$62,14)</f>
        <v>0</v>
      </c>
      <c r="U57" s="559">
        <f t="shared" si="6"/>
        <v>0</v>
      </c>
      <c r="V57" s="559">
        <f t="shared" si="5"/>
        <v>0</v>
      </c>
    </row>
    <row r="58" spans="2:22" ht="30" customHeight="1" x14ac:dyDescent="0.3">
      <c r="B58" s="150" t="s">
        <v>1954</v>
      </c>
      <c r="C58" s="770">
        <f>'GI &amp; GU'!P79</f>
        <v>0</v>
      </c>
      <c r="D58" s="746"/>
      <c r="E58" s="746"/>
      <c r="F58" s="1"/>
      <c r="G58" s="842"/>
      <c r="H58" s="843"/>
      <c r="I58" s="843"/>
      <c r="J58" s="843"/>
      <c r="K58" s="843"/>
      <c r="L58" s="843"/>
      <c r="M58" s="843"/>
      <c r="N58" s="843"/>
      <c r="O58" s="843"/>
      <c r="P58" s="843"/>
      <c r="Q58" s="844"/>
      <c r="T58" s="370">
        <f>LARGE($C$44:$C$62,15)</f>
        <v>0</v>
      </c>
      <c r="U58" s="559">
        <f t="shared" si="6"/>
        <v>0</v>
      </c>
      <c r="V58" s="559">
        <f t="shared" si="5"/>
        <v>0</v>
      </c>
    </row>
    <row r="59" spans="2:22" ht="19.5" customHeight="1" x14ac:dyDescent="0.3">
      <c r="B59" s="150" t="s">
        <v>244</v>
      </c>
      <c r="C59" s="770">
        <f>Endocrine!P53</f>
        <v>0</v>
      </c>
      <c r="D59" s="746"/>
      <c r="E59" s="746"/>
      <c r="F59" s="1"/>
      <c r="G59" s="836" t="str">
        <f>IF(Q66=0,"No Unsched. PPD Entered",IF(S52=1,"Not applicable","Rule 0012(13) chart adaptability"))</f>
        <v>No Unsched. PPD Entered</v>
      </c>
      <c r="H59" s="837"/>
      <c r="I59" s="837"/>
      <c r="J59" s="837"/>
      <c r="K59" s="837"/>
      <c r="L59" s="837"/>
      <c r="M59" s="838"/>
      <c r="N59" s="877" t="str">
        <f>IF(OR(S52=1,Q66=0),"",SUMIF(B90:CW90,Q66,B91:CW91))</f>
        <v/>
      </c>
      <c r="O59" s="781"/>
      <c r="P59" s="782"/>
      <c r="Q59" s="845"/>
      <c r="T59" s="370">
        <f>LARGE($C$44:$C$62,16)</f>
        <v>0</v>
      </c>
      <c r="U59" s="559">
        <f t="shared" si="6"/>
        <v>0</v>
      </c>
      <c r="V59" s="559">
        <f t="shared" si="5"/>
        <v>0</v>
      </c>
    </row>
    <row r="60" spans="2:22" ht="30" customHeight="1" x14ac:dyDescent="0.3">
      <c r="B60" s="150" t="s">
        <v>1953</v>
      </c>
      <c r="C60" s="770">
        <f>'Integument &amp; Lacrimal'!P21</f>
        <v>0</v>
      </c>
      <c r="D60" s="746"/>
      <c r="E60" s="746"/>
      <c r="F60" s="1"/>
      <c r="G60" s="748" t="str">
        <f>IF(Q66=0,"No Unsched. PPD Entered",IF(S52=1,"Not applicable","Base functional capacity"))</f>
        <v>No Unsched. PPD Entered</v>
      </c>
      <c r="H60" s="749"/>
      <c r="I60" s="749"/>
      <c r="J60" s="749"/>
      <c r="K60" s="749"/>
      <c r="L60" s="749"/>
      <c r="M60" s="750"/>
      <c r="N60" s="745"/>
      <c r="O60" s="892"/>
      <c r="P60" s="835"/>
      <c r="Q60" s="846"/>
      <c r="T60" s="370">
        <f>LARGE($C$44:$C$62,17)</f>
        <v>0</v>
      </c>
      <c r="U60" s="559">
        <f t="shared" si="6"/>
        <v>0</v>
      </c>
      <c r="V60" s="559">
        <f t="shared" si="5"/>
        <v>0</v>
      </c>
    </row>
    <row r="61" spans="2:22" ht="19.5" customHeight="1" x14ac:dyDescent="0.3">
      <c r="B61" s="353" t="s">
        <v>102</v>
      </c>
      <c r="C61" s="872">
        <f>'Immune system'!P4</f>
        <v>0</v>
      </c>
      <c r="D61" s="873"/>
      <c r="E61" s="873"/>
      <c r="F61" s="175"/>
      <c r="G61" s="748" t="str">
        <f>IF(Q66=0,"No Unsched.PPD Entered",IF(S52=1,"Not applicable","Residual functional capacity"))</f>
        <v>No Unsched.PPD Entered</v>
      </c>
      <c r="H61" s="749"/>
      <c r="I61" s="749"/>
      <c r="J61" s="749"/>
      <c r="K61" s="749"/>
      <c r="L61" s="749"/>
      <c r="M61" s="750"/>
      <c r="N61" s="745"/>
      <c r="O61" s="892"/>
      <c r="P61" s="835"/>
      <c r="Q61" s="846"/>
      <c r="T61" s="370">
        <f>LARGE($C$44:$C$62,18)</f>
        <v>0</v>
      </c>
      <c r="U61" s="559">
        <f t="shared" si="6"/>
        <v>0</v>
      </c>
      <c r="V61" s="559">
        <f t="shared" si="5"/>
        <v>0</v>
      </c>
    </row>
    <row r="62" spans="2:22" ht="19.5" customHeight="1" x14ac:dyDescent="0.3">
      <c r="B62" s="189"/>
      <c r="C62" s="874">
        <v>0</v>
      </c>
      <c r="D62" s="875"/>
      <c r="E62" s="876"/>
      <c r="F62" s="174"/>
      <c r="G62" s="748" t="str">
        <f>IF(Q66=0,"No Unsched. PPD Entered",IF(S52=1,"Not applicable","Rule 0012(11) chart adaptability"))</f>
        <v>No Unsched. PPD Entered</v>
      </c>
      <c r="H62" s="749"/>
      <c r="I62" s="749"/>
      <c r="J62" s="749"/>
      <c r="K62" s="749"/>
      <c r="L62" s="749"/>
      <c r="M62" s="750"/>
      <c r="N62" s="747" t="str">
        <f>IF(S52=1,"",SUMIF(B86:AT86,T63,B87:AT87))</f>
        <v/>
      </c>
      <c r="O62" s="751"/>
      <c r="P62" s="752"/>
      <c r="Q62" s="847"/>
      <c r="T62" s="370">
        <f>LARGE($C$44:$C$62,19)</f>
        <v>0</v>
      </c>
      <c r="U62" s="146"/>
      <c r="V62" s="146"/>
    </row>
    <row r="63" spans="2:22" ht="27" customHeight="1" x14ac:dyDescent="0.3">
      <c r="B63" s="181" t="s">
        <v>143</v>
      </c>
      <c r="C63" s="862">
        <f>V61</f>
        <v>0</v>
      </c>
      <c r="D63" s="863"/>
      <c r="E63" s="864"/>
      <c r="F63" s="354"/>
      <c r="G63" s="757" t="str">
        <f>IF(Q66=0,"No Unsched. PPD Entered",IF(S52=1,"Not applicable","Adaptability value"))</f>
        <v>No Unsched. PPD Entered</v>
      </c>
      <c r="H63" s="758"/>
      <c r="I63" s="758"/>
      <c r="J63" s="758"/>
      <c r="K63" s="758"/>
      <c r="L63" s="758"/>
      <c r="M63" s="758"/>
      <c r="N63" s="758"/>
      <c r="O63" s="758"/>
      <c r="P63" s="759"/>
      <c r="Q63" s="149">
        <f>MAX(N59,N62)</f>
        <v>0</v>
      </c>
      <c r="T63" s="233" t="str">
        <f>IF(OR(N60="",N61=""),"No BFC/RFC",CONCATENATE(N60,N61))</f>
        <v>No BFC/RFC</v>
      </c>
    </row>
    <row r="64" spans="2:22" ht="19.5" customHeight="1" x14ac:dyDescent="0.3">
      <c r="B64" s="355"/>
      <c r="C64" s="356"/>
      <c r="D64" s="356"/>
      <c r="E64" s="357"/>
      <c r="F64" s="354"/>
      <c r="G64" s="757" t="str">
        <f>IF(Q66=0,"No Unsched. PPD Entered",IF(S52=1,"Not applicable","Multiplied times the age &amp; education total"))</f>
        <v>No Unsched. PPD Entered</v>
      </c>
      <c r="H64" s="758"/>
      <c r="I64" s="758"/>
      <c r="J64" s="758"/>
      <c r="K64" s="758"/>
      <c r="L64" s="758"/>
      <c r="M64" s="758"/>
      <c r="N64" s="758"/>
      <c r="O64" s="758"/>
      <c r="P64" s="759"/>
      <c r="Q64" s="149">
        <f>SUM(Q54:Q56)</f>
        <v>0</v>
      </c>
    </row>
    <row r="65" spans="2:23" ht="27" customHeight="1" x14ac:dyDescent="0.3">
      <c r="B65" s="358"/>
      <c r="C65" s="322"/>
      <c r="D65" s="322"/>
      <c r="E65" s="195"/>
      <c r="F65" s="354" t="s">
        <v>208</v>
      </c>
      <c r="G65" s="757" t="str">
        <f>IF(Q66=0,"No Unsched. PPD Entered",IF(S52=1,"Not applicable","Equals total age/education/adaptability factor"))</f>
        <v>No Unsched. PPD Entered</v>
      </c>
      <c r="H65" s="758"/>
      <c r="I65" s="758"/>
      <c r="J65" s="758"/>
      <c r="K65" s="758"/>
      <c r="L65" s="758"/>
      <c r="M65" s="758"/>
      <c r="N65" s="758"/>
      <c r="O65" s="758"/>
      <c r="P65" s="759"/>
      <c r="Q65" s="262">
        <f>(Q63*Q64)/100</f>
        <v>0</v>
      </c>
      <c r="S65" s="151"/>
    </row>
    <row r="66" spans="2:23" ht="19.5" customHeight="1" x14ac:dyDescent="0.3">
      <c r="B66" s="883" t="str">
        <f>IF(Q68="ERROR","Clear red error messages above.","")</f>
        <v/>
      </c>
      <c r="C66" s="884"/>
      <c r="D66" s="884"/>
      <c r="E66" s="885"/>
      <c r="F66" s="354" t="s">
        <v>12</v>
      </c>
      <c r="G66" s="757" t="s">
        <v>144</v>
      </c>
      <c r="H66" s="758"/>
      <c r="I66" s="758"/>
      <c r="J66" s="758"/>
      <c r="K66" s="758"/>
      <c r="L66" s="758"/>
      <c r="M66" s="758"/>
      <c r="N66" s="758"/>
      <c r="O66" s="758"/>
      <c r="P66" s="759"/>
      <c r="Q66" s="311">
        <f>C63</f>
        <v>0</v>
      </c>
    </row>
    <row r="67" spans="2:23" ht="19.5" customHeight="1" x14ac:dyDescent="0.3">
      <c r="B67" s="886"/>
      <c r="C67" s="887"/>
      <c r="D67" s="887"/>
      <c r="E67" s="888"/>
      <c r="F67" s="354"/>
      <c r="G67" s="757" t="s">
        <v>620</v>
      </c>
      <c r="H67" s="758"/>
      <c r="I67" s="758"/>
      <c r="J67" s="758"/>
      <c r="K67" s="758"/>
      <c r="L67" s="758"/>
      <c r="M67" s="758"/>
      <c r="N67" s="758"/>
      <c r="O67" s="758"/>
      <c r="P67" s="759"/>
      <c r="Q67" s="262">
        <f>IF(Q65+Q66&gt;1,1,Q65+Q66)</f>
        <v>0</v>
      </c>
    </row>
    <row r="68" spans="2:23" ht="19.5" customHeight="1" x14ac:dyDescent="0.3">
      <c r="B68" s="889"/>
      <c r="C68" s="890"/>
      <c r="D68" s="890"/>
      <c r="E68" s="891"/>
      <c r="F68" s="222"/>
      <c r="G68" s="879" t="s">
        <v>1877</v>
      </c>
      <c r="H68" s="880"/>
      <c r="I68" s="880"/>
      <c r="J68" s="880"/>
      <c r="K68" s="880"/>
      <c r="L68" s="880"/>
      <c r="M68" s="880"/>
      <c r="N68" s="880"/>
      <c r="O68" s="880"/>
      <c r="P68" s="881"/>
      <c r="Q68" s="250">
        <f>IF(Q66=0,0,IF(Q48&lt;&gt;"","ERROR",Q67))</f>
        <v>0</v>
      </c>
      <c r="T68" s="18" t="s">
        <v>1878</v>
      </c>
      <c r="U68" s="18" t="s">
        <v>1890</v>
      </c>
      <c r="V68" s="18" t="s">
        <v>1891</v>
      </c>
      <c r="W68" s="18" t="s">
        <v>1892</v>
      </c>
    </row>
    <row r="69" spans="2:23" ht="26.25" customHeight="1" x14ac:dyDescent="0.3">
      <c r="B69" s="359" t="s">
        <v>1879</v>
      </c>
      <c r="C69" s="914" t="s">
        <v>1880</v>
      </c>
      <c r="D69" s="914"/>
      <c r="E69" s="914"/>
      <c r="F69" s="914"/>
      <c r="G69" s="914" t="s">
        <v>1881</v>
      </c>
      <c r="H69" s="915"/>
      <c r="I69" s="915"/>
      <c r="J69" s="360"/>
      <c r="K69" s="914" t="s">
        <v>1882</v>
      </c>
      <c r="L69" s="914"/>
      <c r="M69" s="914"/>
      <c r="N69" s="792"/>
      <c r="O69" s="792"/>
      <c r="P69" s="1"/>
      <c r="Q69" s="902" t="str">
        <f>IF(N51="","",IF(N51&gt;S43,T4,IF(C63=0,"Unscheduled PPD has not been entered. Even if social-vocational data is entered, it will not affect the scheduled award.","")))</f>
        <v/>
      </c>
      <c r="T69" s="334">
        <v>35065</v>
      </c>
      <c r="U69" s="19" t="s">
        <v>1883</v>
      </c>
      <c r="V69" s="19" t="s">
        <v>1884</v>
      </c>
      <c r="W69" s="19" t="s">
        <v>1885</v>
      </c>
    </row>
    <row r="70" spans="2:23" ht="18" customHeight="1" x14ac:dyDescent="0.3">
      <c r="B70" s="361"/>
      <c r="C70" s="770">
        <f>IF(Q68="ERROR",0,Q68)</f>
        <v>0</v>
      </c>
      <c r="D70" s="770"/>
      <c r="E70" s="770"/>
      <c r="F70" s="18" t="s">
        <v>1790</v>
      </c>
      <c r="G70" s="746">
        <v>320</v>
      </c>
      <c r="H70" s="746"/>
      <c r="I70" s="746"/>
      <c r="J70" s="307" t="s">
        <v>1792</v>
      </c>
      <c r="K70" s="860">
        <f>C70*G70</f>
        <v>0</v>
      </c>
      <c r="L70" s="860"/>
      <c r="M70" s="860"/>
      <c r="N70" s="792"/>
      <c r="O70" s="792"/>
      <c r="P70" s="1"/>
      <c r="Q70" s="903"/>
      <c r="T70" s="334">
        <v>38353</v>
      </c>
      <c r="U70" s="19" t="s">
        <v>1886</v>
      </c>
      <c r="V70" s="19" t="s">
        <v>1887</v>
      </c>
      <c r="W70" s="19" t="s">
        <v>1888</v>
      </c>
    </row>
    <row r="71" spans="2:23" ht="24.75" customHeight="1" x14ac:dyDescent="0.3">
      <c r="B71" s="362"/>
      <c r="C71" s="878" t="s">
        <v>365</v>
      </c>
      <c r="D71" s="878"/>
      <c r="E71" s="878"/>
      <c r="F71" s="363"/>
      <c r="G71" s="907" t="s">
        <v>365</v>
      </c>
      <c r="H71" s="908"/>
      <c r="I71" s="909"/>
      <c r="J71" s="363"/>
      <c r="K71" s="910" t="s">
        <v>1889</v>
      </c>
      <c r="L71" s="911"/>
      <c r="M71" s="912"/>
      <c r="N71" s="878" t="s">
        <v>33</v>
      </c>
      <c r="O71" s="878"/>
      <c r="P71" s="907"/>
      <c r="Q71" s="903"/>
      <c r="T71" s="346"/>
      <c r="U71" s="57"/>
      <c r="V71" s="57"/>
      <c r="W71" s="57"/>
    </row>
    <row r="72" spans="2:23" ht="19.5" customHeight="1" x14ac:dyDescent="0.3">
      <c r="B72" s="13" t="s">
        <v>1890</v>
      </c>
      <c r="C72" s="746" t="str">
        <f>IF(N51="","DOI?",IF(N51&lt;T69,U69,U70))</f>
        <v>DOI?</v>
      </c>
      <c r="D72" s="746"/>
      <c r="E72" s="746"/>
      <c r="F72" s="18"/>
      <c r="G72" s="860">
        <f>IF(C72="DOI?",0,IF(K70&gt;T72,T72,K70))</f>
        <v>0</v>
      </c>
      <c r="H72" s="860"/>
      <c r="I72" s="860"/>
      <c r="J72" s="18" t="s">
        <v>1790</v>
      </c>
      <c r="K72" s="905" t="e">
        <f>'Dol Per Deg'!H8</f>
        <v>#N/A</v>
      </c>
      <c r="L72" s="906"/>
      <c r="M72" s="18" t="s">
        <v>1792</v>
      </c>
      <c r="N72" s="913" t="e">
        <f>G72*K72</f>
        <v>#N/A</v>
      </c>
      <c r="O72" s="913"/>
      <c r="P72" s="760"/>
      <c r="Q72" s="903"/>
      <c r="T72" s="146">
        <f>IF(N51="",0,IF(N51&lt;T69,U73,U74))</f>
        <v>0</v>
      </c>
    </row>
    <row r="73" spans="2:23" ht="19.5" customHeight="1" x14ac:dyDescent="0.3">
      <c r="B73" s="13" t="s">
        <v>1891</v>
      </c>
      <c r="C73" s="746" t="str">
        <f>IF(N51="","DOI?",IF(N51&lt;T69,V69,V70))</f>
        <v>DOI?</v>
      </c>
      <c r="D73" s="746"/>
      <c r="E73" s="746"/>
      <c r="F73" s="18"/>
      <c r="G73" s="860">
        <f>IF(C73="DOI?",0,IF(K70&gt;T73,T73-T72,IF(K70&gt;T72,K70-T72,0)))</f>
        <v>0</v>
      </c>
      <c r="H73" s="860"/>
      <c r="I73" s="860"/>
      <c r="J73" s="18" t="s">
        <v>1790</v>
      </c>
      <c r="K73" s="760" t="e">
        <f>'Dol Per Deg'!H9</f>
        <v>#N/A</v>
      </c>
      <c r="L73" s="861"/>
      <c r="M73" s="18" t="s">
        <v>1792</v>
      </c>
      <c r="N73" s="913" t="e">
        <f>G73*K73</f>
        <v>#N/A</v>
      </c>
      <c r="O73" s="913"/>
      <c r="P73" s="760"/>
      <c r="Q73" s="903"/>
      <c r="T73" s="146">
        <f>IF(N51="",0,IF(N51&lt;T69,V73,V74))</f>
        <v>0</v>
      </c>
      <c r="U73" s="146">
        <v>96</v>
      </c>
      <c r="V73" s="146">
        <v>192</v>
      </c>
      <c r="W73" s="18">
        <v>320</v>
      </c>
    </row>
    <row r="74" spans="2:23" ht="19.5" customHeight="1" x14ac:dyDescent="0.3">
      <c r="B74" s="13" t="s">
        <v>1892</v>
      </c>
      <c r="C74" s="746" t="str">
        <f>IF(N51="","DOI?",IF(N51&lt;T69,W69,W70))</f>
        <v>DOI?</v>
      </c>
      <c r="D74" s="746"/>
      <c r="E74" s="746"/>
      <c r="F74" s="18"/>
      <c r="G74" s="860">
        <f>IF(C74="DOI?",0,IF(K70&gt;T73,K70-T73,0))</f>
        <v>0</v>
      </c>
      <c r="H74" s="860"/>
      <c r="I74" s="860"/>
      <c r="J74" s="18" t="s">
        <v>1790</v>
      </c>
      <c r="K74" s="760" t="e">
        <f>'Dol Per Deg'!H10</f>
        <v>#N/A</v>
      </c>
      <c r="L74" s="861"/>
      <c r="M74" s="18" t="s">
        <v>1792</v>
      </c>
      <c r="N74" s="913" t="e">
        <f>G74*K74</f>
        <v>#N/A</v>
      </c>
      <c r="O74" s="913"/>
      <c r="P74" s="760"/>
      <c r="Q74" s="904"/>
      <c r="T74" s="146">
        <f>IF(N51="",0,IF(N51&lt;T69,W73,W74))</f>
        <v>0</v>
      </c>
      <c r="U74" s="146">
        <v>64</v>
      </c>
      <c r="V74" s="146">
        <v>160</v>
      </c>
      <c r="W74" s="18">
        <v>320</v>
      </c>
    </row>
    <row r="75" spans="2:23" ht="19.5" customHeight="1" x14ac:dyDescent="0.3">
      <c r="B75" s="916" t="s">
        <v>1893</v>
      </c>
      <c r="C75" s="917"/>
      <c r="D75" s="917"/>
      <c r="E75" s="917"/>
      <c r="F75" s="917"/>
      <c r="G75" s="917"/>
      <c r="H75" s="917"/>
      <c r="I75" s="917"/>
      <c r="J75" s="917"/>
      <c r="K75" s="917"/>
      <c r="L75" s="917"/>
      <c r="M75" s="917"/>
      <c r="N75" s="917"/>
      <c r="O75" s="917"/>
      <c r="P75" s="918"/>
      <c r="Q75" s="364" t="e">
        <f>SUM(N72:N74)</f>
        <v>#N/A</v>
      </c>
    </row>
    <row r="76" spans="2:23" ht="19.5" customHeight="1" x14ac:dyDescent="0.3">
      <c r="B76" s="916" t="s">
        <v>688</v>
      </c>
      <c r="C76" s="917"/>
      <c r="D76" s="917"/>
      <c r="E76" s="917"/>
      <c r="F76" s="917"/>
      <c r="G76" s="917"/>
      <c r="H76" s="917"/>
      <c r="I76" s="917"/>
      <c r="J76" s="917"/>
      <c r="K76" s="917"/>
      <c r="L76" s="917"/>
      <c r="M76" s="917"/>
      <c r="N76" s="917"/>
      <c r="O76" s="917"/>
      <c r="P76" s="918"/>
      <c r="Q76" s="364" t="e">
        <f>Q75+Q40</f>
        <v>#N/A</v>
      </c>
    </row>
    <row r="77" spans="2:23" ht="15.75" customHeight="1" x14ac:dyDescent="0.3">
      <c r="B77" s="901" t="s">
        <v>887</v>
      </c>
      <c r="C77" s="901"/>
      <c r="D77" s="901"/>
      <c r="E77" s="901"/>
      <c r="F77" s="901"/>
      <c r="G77" s="901"/>
      <c r="H77" s="901"/>
      <c r="I77" s="901"/>
      <c r="J77" s="901"/>
      <c r="K77" s="901"/>
      <c r="L77" s="901"/>
      <c r="M77" s="901"/>
      <c r="N77" s="901"/>
      <c r="O77" s="901"/>
      <c r="P77" s="901"/>
      <c r="Q77" s="901"/>
      <c r="R77" s="15"/>
    </row>
    <row r="79" spans="2:23" ht="18" hidden="1" customHeight="1" x14ac:dyDescent="0.3">
      <c r="B79" s="2" t="s">
        <v>366</v>
      </c>
      <c r="C79" s="2" t="s">
        <v>1138</v>
      </c>
    </row>
    <row r="80" spans="2:23" ht="18" hidden="1" customHeight="1" x14ac:dyDescent="0.3"/>
    <row r="81" spans="1:163" ht="18" hidden="1" customHeight="1" x14ac:dyDescent="0.3">
      <c r="A81" s="146" t="s">
        <v>278</v>
      </c>
      <c r="B81" s="18">
        <v>1</v>
      </c>
      <c r="C81" s="18">
        <v>2</v>
      </c>
      <c r="D81" s="18">
        <v>3</v>
      </c>
      <c r="E81" s="18">
        <v>4</v>
      </c>
      <c r="F81" s="18">
        <v>5</v>
      </c>
      <c r="G81" s="18">
        <v>6</v>
      </c>
      <c r="H81" s="18">
        <v>7</v>
      </c>
      <c r="I81" s="18">
        <v>8</v>
      </c>
      <c r="J81" s="18">
        <v>9</v>
      </c>
      <c r="K81" s="550"/>
      <c r="L81" s="549" t="s">
        <v>2180</v>
      </c>
      <c r="M81" s="549"/>
      <c r="N81" s="549"/>
      <c r="O81" s="549"/>
      <c r="P81" s="549"/>
      <c r="Q81" s="549"/>
      <c r="R81" s="549"/>
      <c r="S81" s="549"/>
      <c r="T81" s="549"/>
      <c r="U81" s="549"/>
      <c r="V81" s="549"/>
      <c r="W81" s="549"/>
    </row>
    <row r="82" spans="1:163" ht="18" hidden="1" customHeight="1" x14ac:dyDescent="0.3">
      <c r="A82" s="146">
        <v>4</v>
      </c>
      <c r="B82" s="18">
        <v>4</v>
      </c>
      <c r="C82" s="18">
        <v>4</v>
      </c>
      <c r="D82" s="18">
        <v>3</v>
      </c>
      <c r="E82" s="18">
        <v>3</v>
      </c>
      <c r="F82" s="18">
        <v>2</v>
      </c>
      <c r="G82" s="18">
        <v>2</v>
      </c>
      <c r="H82" s="18">
        <v>1</v>
      </c>
      <c r="I82" s="18">
        <v>1</v>
      </c>
      <c r="J82" s="18">
        <v>1</v>
      </c>
      <c r="K82" s="1"/>
      <c r="L82" s="1"/>
      <c r="M82" s="1"/>
      <c r="N82" s="1"/>
    </row>
    <row r="83" spans="1:163" ht="18" hidden="1" customHeight="1" x14ac:dyDescent="0.3">
      <c r="B83" s="1"/>
      <c r="C83" s="1"/>
      <c r="D83" s="1"/>
      <c r="E83" s="1"/>
      <c r="F83" s="1"/>
      <c r="G83" s="1"/>
      <c r="H83" s="1"/>
      <c r="I83" s="1"/>
      <c r="J83" s="1"/>
      <c r="K83" s="1"/>
      <c r="L83" s="1"/>
      <c r="M83" s="1"/>
      <c r="N83" s="1"/>
    </row>
    <row r="84" spans="1:163" ht="18" hidden="1" customHeight="1" x14ac:dyDescent="0.3">
      <c r="B84" s="1"/>
      <c r="C84" s="1"/>
      <c r="D84" s="1"/>
      <c r="E84" s="1"/>
      <c r="F84" s="1"/>
      <c r="G84" s="1"/>
      <c r="H84" s="1"/>
      <c r="I84" s="1"/>
      <c r="J84" s="1"/>
      <c r="K84" s="549"/>
      <c r="L84" s="549" t="s">
        <v>2181</v>
      </c>
      <c r="M84" s="549"/>
      <c r="N84" s="549"/>
      <c r="O84" s="549"/>
      <c r="P84" s="549"/>
      <c r="Q84" s="549"/>
      <c r="R84" s="549"/>
      <c r="S84" s="549"/>
      <c r="T84" s="549"/>
      <c r="U84" s="549"/>
      <c r="V84" s="549"/>
      <c r="W84" s="549"/>
      <c r="X84" s="549"/>
      <c r="Y84" s="549"/>
      <c r="Z84" s="549"/>
      <c r="AA84" s="549"/>
      <c r="AB84" s="549"/>
    </row>
    <row r="85" spans="1:163" ht="18" hidden="1" customHeight="1" x14ac:dyDescent="0.3">
      <c r="B85" s="18" t="s">
        <v>354</v>
      </c>
      <c r="C85" s="18" t="s">
        <v>355</v>
      </c>
      <c r="D85" s="18" t="s">
        <v>356</v>
      </c>
      <c r="E85" s="18" t="s">
        <v>357</v>
      </c>
      <c r="F85" s="18" t="s">
        <v>358</v>
      </c>
      <c r="G85" s="18"/>
      <c r="H85" s="18" t="s">
        <v>359</v>
      </c>
      <c r="I85" s="18" t="s">
        <v>354</v>
      </c>
      <c r="J85" s="18" t="s">
        <v>360</v>
      </c>
      <c r="K85" s="18" t="s">
        <v>355</v>
      </c>
      <c r="L85" s="18" t="s">
        <v>361</v>
      </c>
      <c r="M85" s="18" t="s">
        <v>356</v>
      </c>
      <c r="N85" s="18" t="s">
        <v>362</v>
      </c>
      <c r="O85" s="146" t="s">
        <v>357</v>
      </c>
      <c r="P85" s="146" t="s">
        <v>358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3">
      <c r="B86" s="18" t="s">
        <v>1928</v>
      </c>
      <c r="C86" s="18" t="s">
        <v>1929</v>
      </c>
      <c r="D86" s="18" t="s">
        <v>1674</v>
      </c>
      <c r="E86" s="18" t="s">
        <v>1462</v>
      </c>
      <c r="F86" s="18" t="s">
        <v>1463</v>
      </c>
      <c r="G86" s="18" t="s">
        <v>1464</v>
      </c>
      <c r="H86" s="18" t="s">
        <v>1465</v>
      </c>
      <c r="I86" s="18" t="s">
        <v>1466</v>
      </c>
      <c r="J86" s="18" t="s">
        <v>1467</v>
      </c>
      <c r="K86" s="18" t="s">
        <v>1468</v>
      </c>
      <c r="L86" s="18" t="s">
        <v>1588</v>
      </c>
      <c r="M86" s="18" t="s">
        <v>958</v>
      </c>
      <c r="N86" s="18" t="s">
        <v>959</v>
      </c>
      <c r="O86" s="146" t="s">
        <v>960</v>
      </c>
      <c r="P86" s="146" t="s">
        <v>961</v>
      </c>
      <c r="Q86" s="146" t="s">
        <v>962</v>
      </c>
      <c r="R86" s="146" t="s">
        <v>963</v>
      </c>
      <c r="S86" s="146" t="s">
        <v>964</v>
      </c>
      <c r="T86" s="146" t="s">
        <v>965</v>
      </c>
      <c r="U86" s="146" t="s">
        <v>644</v>
      </c>
      <c r="V86" s="18" t="s">
        <v>645</v>
      </c>
      <c r="W86" s="146" t="s">
        <v>646</v>
      </c>
      <c r="X86" s="146" t="s">
        <v>647</v>
      </c>
      <c r="Y86" s="146" t="s">
        <v>648</v>
      </c>
      <c r="Z86" s="146" t="s">
        <v>649</v>
      </c>
      <c r="AA86" s="146" t="s">
        <v>650</v>
      </c>
      <c r="AB86" s="146" t="s">
        <v>651</v>
      </c>
      <c r="AC86" s="146" t="s">
        <v>652</v>
      </c>
      <c r="AD86" s="146" t="s">
        <v>653</v>
      </c>
      <c r="AE86" s="146" t="s">
        <v>654</v>
      </c>
      <c r="AF86" s="146" t="s">
        <v>655</v>
      </c>
      <c r="AG86" s="146" t="s">
        <v>656</v>
      </c>
      <c r="AH86" s="146" t="s">
        <v>657</v>
      </c>
      <c r="AI86" s="146" t="s">
        <v>658</v>
      </c>
      <c r="AJ86" s="146" t="s">
        <v>659</v>
      </c>
      <c r="AK86" s="146" t="s">
        <v>660</v>
      </c>
      <c r="AL86" s="146" t="s">
        <v>661</v>
      </c>
      <c r="AM86" s="146" t="s">
        <v>662</v>
      </c>
      <c r="AN86" s="146" t="s">
        <v>1064</v>
      </c>
      <c r="AO86" s="146" t="s">
        <v>378</v>
      </c>
      <c r="AP86" s="146" t="s">
        <v>379</v>
      </c>
      <c r="AQ86" s="146" t="s">
        <v>44</v>
      </c>
      <c r="AR86" s="146" t="s">
        <v>45</v>
      </c>
      <c r="AS86" s="146" t="s">
        <v>46</v>
      </c>
      <c r="AT86" s="146" t="s">
        <v>47</v>
      </c>
    </row>
    <row r="87" spans="1:163" ht="18" hidden="1" customHeight="1" x14ac:dyDescent="0.3">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3">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3">
      <c r="B89" s="1"/>
      <c r="C89" s="1"/>
      <c r="D89" s="1"/>
      <c r="E89" s="1"/>
      <c r="F89" s="1"/>
      <c r="G89" s="1"/>
      <c r="H89" s="1"/>
      <c r="I89" s="1"/>
      <c r="J89" s="1"/>
      <c r="K89" s="549"/>
      <c r="L89" s="549" t="s">
        <v>2182</v>
      </c>
      <c r="M89" s="549"/>
      <c r="N89" s="549"/>
      <c r="O89" s="549"/>
      <c r="P89" s="549"/>
      <c r="Q89" s="549"/>
      <c r="R89" s="549"/>
      <c r="S89" s="549"/>
      <c r="T89" s="549"/>
      <c r="U89" s="549"/>
      <c r="V89" s="549"/>
      <c r="W89" s="549"/>
      <c r="X89" s="549"/>
      <c r="Y89" s="549"/>
    </row>
    <row r="90" spans="1:163" ht="18" hidden="1" customHeight="1" x14ac:dyDescent="0.3">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3">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3">
      <c r="B92" s="1"/>
      <c r="C92" s="1"/>
      <c r="D92" s="1"/>
      <c r="E92" s="1"/>
      <c r="F92" s="1"/>
      <c r="G92" s="1"/>
      <c r="H92" s="1"/>
      <c r="I92" s="1"/>
      <c r="J92" s="1"/>
      <c r="K92" s="1"/>
      <c r="L92" s="1"/>
      <c r="M92" s="1"/>
      <c r="N92" s="1"/>
    </row>
    <row r="93" spans="1:163" hidden="1" x14ac:dyDescent="0.3"/>
    <row r="94" spans="1:163" hidden="1" x14ac:dyDescent="0.3"/>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25" priority="1" stopIfTrue="1" operator="equal">
      <formula>$T$13</formula>
    </cfRule>
    <cfRule type="cellIs" dxfId="24"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 x14ac:dyDescent="0.3"/>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3">
      <c r="A1" s="270" t="s">
        <v>2303</v>
      </c>
      <c r="B1" s="259" t="s">
        <v>1721</v>
      </c>
      <c r="C1" s="259" t="s">
        <v>1721</v>
      </c>
      <c r="D1" s="259" t="s">
        <v>1721</v>
      </c>
      <c r="E1" s="259" t="s">
        <v>1721</v>
      </c>
      <c r="F1" s="259" t="s">
        <v>1721</v>
      </c>
      <c r="G1" s="259" t="s">
        <v>1721</v>
      </c>
      <c r="H1" s="259" t="s">
        <v>1722</v>
      </c>
      <c r="I1" s="259" t="s">
        <v>1723</v>
      </c>
      <c r="J1" s="259" t="s">
        <v>1723</v>
      </c>
      <c r="K1" s="259" t="s">
        <v>1723</v>
      </c>
      <c r="L1" s="50" t="s">
        <v>1724</v>
      </c>
      <c r="M1" s="50" t="s">
        <v>1724</v>
      </c>
      <c r="N1" s="50" t="s">
        <v>671</v>
      </c>
      <c r="O1" s="50" t="s">
        <v>671</v>
      </c>
      <c r="P1" s="50" t="s">
        <v>671</v>
      </c>
      <c r="Q1" s="50" t="s">
        <v>671</v>
      </c>
      <c r="R1" s="50" t="s">
        <v>1725</v>
      </c>
      <c r="S1" s="50" t="s">
        <v>1725</v>
      </c>
      <c r="T1" s="50" t="s">
        <v>1725</v>
      </c>
      <c r="U1" s="50" t="s">
        <v>1725</v>
      </c>
      <c r="V1" s="50" t="s">
        <v>1724</v>
      </c>
      <c r="W1" s="50" t="s">
        <v>1726</v>
      </c>
      <c r="X1" s="50" t="s">
        <v>1726</v>
      </c>
      <c r="Y1" s="50" t="s">
        <v>1726</v>
      </c>
      <c r="Z1" s="50" t="s">
        <v>1962</v>
      </c>
      <c r="AA1" s="50" t="s">
        <v>1962</v>
      </c>
      <c r="AB1" s="50" t="s">
        <v>1962</v>
      </c>
      <c r="AC1" s="50" t="s">
        <v>1962</v>
      </c>
      <c r="AD1" s="50" t="s">
        <v>1962</v>
      </c>
      <c r="AE1" s="50" t="s">
        <v>1962</v>
      </c>
      <c r="AG1" s="50" t="s">
        <v>575</v>
      </c>
      <c r="AQ1" s="50" t="s">
        <v>728</v>
      </c>
    </row>
    <row r="2" spans="1:51" ht="107" x14ac:dyDescent="0.3">
      <c r="A2" s="259" t="s">
        <v>1963</v>
      </c>
      <c r="B2" s="694" t="s">
        <v>1005</v>
      </c>
      <c r="C2" s="694" t="s">
        <v>1006</v>
      </c>
      <c r="D2" s="694" t="s">
        <v>1007</v>
      </c>
      <c r="E2" s="694" t="s">
        <v>1008</v>
      </c>
      <c r="F2" s="694" t="s">
        <v>1009</v>
      </c>
      <c r="G2" s="694" t="s">
        <v>1010</v>
      </c>
      <c r="H2" s="694" t="s">
        <v>1007</v>
      </c>
      <c r="I2" s="694" t="s">
        <v>1008</v>
      </c>
      <c r="J2" s="694" t="s">
        <v>1009</v>
      </c>
      <c r="K2" s="694" t="s">
        <v>1010</v>
      </c>
      <c r="L2" s="687" t="s">
        <v>1011</v>
      </c>
      <c r="M2" s="694" t="s">
        <v>1012</v>
      </c>
      <c r="N2" s="694" t="s">
        <v>598</v>
      </c>
      <c r="O2" s="694" t="s">
        <v>1013</v>
      </c>
      <c r="P2" s="694" t="s">
        <v>486</v>
      </c>
      <c r="Q2" s="694" t="s">
        <v>1014</v>
      </c>
      <c r="R2" s="694" t="s">
        <v>1334</v>
      </c>
      <c r="S2" s="694" t="s">
        <v>1015</v>
      </c>
      <c r="T2" s="686" t="s">
        <v>1016</v>
      </c>
      <c r="U2" s="686" t="s">
        <v>1017</v>
      </c>
      <c r="V2" s="687" t="s">
        <v>1018</v>
      </c>
      <c r="W2" s="687" t="s">
        <v>852</v>
      </c>
      <c r="X2" s="687" t="s">
        <v>1194</v>
      </c>
      <c r="Y2" s="687" t="s">
        <v>853</v>
      </c>
      <c r="Z2" s="687" t="s">
        <v>195</v>
      </c>
      <c r="AA2" s="687" t="s">
        <v>1940</v>
      </c>
      <c r="AB2" s="687" t="s">
        <v>691</v>
      </c>
      <c r="AC2" s="687" t="s">
        <v>695</v>
      </c>
      <c r="AD2" s="686" t="s">
        <v>699</v>
      </c>
      <c r="AE2" s="687" t="s">
        <v>592</v>
      </c>
      <c r="AF2" s="326"/>
      <c r="AG2" s="275" t="s">
        <v>1163</v>
      </c>
      <c r="AH2" s="692" t="s">
        <v>2308</v>
      </c>
      <c r="AI2" s="685" t="s">
        <v>1306</v>
      </c>
      <c r="AJ2" s="685" t="s">
        <v>2309</v>
      </c>
      <c r="AK2" s="328"/>
      <c r="AL2" s="327"/>
      <c r="AM2" s="696" t="s">
        <v>2308</v>
      </c>
      <c r="AN2" s="696" t="s">
        <v>1306</v>
      </c>
      <c r="AO2" s="696" t="s">
        <v>2309</v>
      </c>
      <c r="AP2" s="327"/>
      <c r="AQ2" s="275" t="s">
        <v>1163</v>
      </c>
      <c r="AR2" s="692" t="s">
        <v>2308</v>
      </c>
      <c r="AS2" s="685" t="s">
        <v>1306</v>
      </c>
      <c r="AT2" s="685" t="s">
        <v>2309</v>
      </c>
      <c r="AU2" s="328"/>
      <c r="AV2" s="327"/>
      <c r="AW2" s="696" t="s">
        <v>2308</v>
      </c>
      <c r="AX2" s="696" t="s">
        <v>1306</v>
      </c>
      <c r="AY2" s="696" t="s">
        <v>2309</v>
      </c>
    </row>
    <row r="3" spans="1:51" x14ac:dyDescent="0.3">
      <c r="A3" s="50">
        <v>0</v>
      </c>
      <c r="B3" s="588">
        <v>0.45</v>
      </c>
      <c r="C3" s="588">
        <v>0.45</v>
      </c>
      <c r="D3" s="588">
        <v>0.34</v>
      </c>
      <c r="E3" s="588">
        <v>0.55000000000000004</v>
      </c>
      <c r="F3" s="588">
        <v>0.21</v>
      </c>
      <c r="G3" s="588">
        <v>0.55500000000000005</v>
      </c>
      <c r="H3" s="588">
        <v>0.28999999999999998</v>
      </c>
      <c r="I3" s="588">
        <v>0.5</v>
      </c>
      <c r="J3" s="588">
        <v>0.21</v>
      </c>
      <c r="K3" s="588">
        <v>0.5</v>
      </c>
      <c r="L3" s="147">
        <v>0</v>
      </c>
      <c r="M3" s="147">
        <v>0</v>
      </c>
      <c r="N3" s="588">
        <v>0.05</v>
      </c>
      <c r="O3" s="588">
        <v>0.1</v>
      </c>
      <c r="P3" s="588">
        <v>0.04</v>
      </c>
      <c r="Q3" s="588">
        <v>0.1</v>
      </c>
      <c r="R3" s="588">
        <v>7.0000000000000007E-2</v>
      </c>
      <c r="S3" s="588">
        <v>0.3</v>
      </c>
      <c r="T3" s="588">
        <v>0.14000000000000001</v>
      </c>
      <c r="U3" s="588">
        <v>0.3</v>
      </c>
      <c r="V3" s="588">
        <v>0</v>
      </c>
      <c r="W3" s="588">
        <v>0.53</v>
      </c>
      <c r="X3" s="588">
        <v>0.53</v>
      </c>
      <c r="Y3" s="588">
        <v>0</v>
      </c>
      <c r="Z3" s="588">
        <v>0.18</v>
      </c>
      <c r="AA3" s="588">
        <v>0.05</v>
      </c>
      <c r="AB3" s="588">
        <v>0.16</v>
      </c>
      <c r="AC3" s="588">
        <v>0.08</v>
      </c>
      <c r="AD3" s="588">
        <v>0.1</v>
      </c>
      <c r="AE3" s="588">
        <v>0.13</v>
      </c>
      <c r="AF3" s="94"/>
      <c r="AG3" s="147" t="s">
        <v>1195</v>
      </c>
      <c r="AH3" s="585" t="str">
        <f>IF('Lower Extremity-Right'!T13="","",'Lower Extremity-Right'!T13)</f>
        <v/>
      </c>
      <c r="AI3" s="585" t="str">
        <f>IF(AH3="","",ROUND(AH3,0))</f>
        <v/>
      </c>
      <c r="AJ3" s="194">
        <f>IF(AI3="",0,VLOOKUP(AI3,$A$3:$AE$154,2))</f>
        <v>0</v>
      </c>
      <c r="AK3" s="62"/>
      <c r="AL3" s="147" t="s">
        <v>1196</v>
      </c>
      <c r="AM3" s="585" t="str">
        <f>IF('Lower Extremity-Right'!V13="","",'Lower Extremity-Right'!V13)</f>
        <v/>
      </c>
      <c r="AN3" s="585" t="str">
        <f>IF(AM3="","",ROUND(AM3,0))</f>
        <v/>
      </c>
      <c r="AO3" s="194">
        <f>IF(AN3="",0,VLOOKUP(AN3,$A$3:$AE$154,2))</f>
        <v>0</v>
      </c>
      <c r="AP3" s="14"/>
      <c r="AQ3" s="147" t="s">
        <v>1195</v>
      </c>
      <c r="AR3" s="585" t="str">
        <f>IF('Lower Extremity-Left'!T13="","",'Lower Extremity-Left'!T13)</f>
        <v/>
      </c>
      <c r="AS3" s="585" t="str">
        <f>IF(AR3="","",ROUND(AR3,0))</f>
        <v/>
      </c>
      <c r="AT3" s="194">
        <f>IF(AS3="",0,VLOOKUP(AS3,$A$3:$AE$154,2))</f>
        <v>0</v>
      </c>
      <c r="AU3" s="62"/>
      <c r="AV3" s="147" t="s">
        <v>1196</v>
      </c>
      <c r="AW3" s="585" t="str">
        <f>IF('Lower Extremity-Left'!V13="","",'Lower Extremity-Left'!V13)</f>
        <v/>
      </c>
      <c r="AX3" s="585" t="str">
        <f>IF(AW3="","",ROUND(AW3,0))</f>
        <v/>
      </c>
      <c r="AY3" s="194">
        <f>IF(AX3="",0,VLOOKUP(AX3,$A$3:$AE$154,2))</f>
        <v>0</v>
      </c>
    </row>
    <row r="4" spans="1:51" x14ac:dyDescent="0.3">
      <c r="A4" s="50">
        <v>1</v>
      </c>
      <c r="B4" s="588">
        <v>0.435</v>
      </c>
      <c r="C4" s="588">
        <v>0.46</v>
      </c>
      <c r="D4" s="588">
        <v>0.33400000000000002</v>
      </c>
      <c r="E4" s="588">
        <v>0.54400000000000004</v>
      </c>
      <c r="F4" s="588">
        <v>0.20300000000000001</v>
      </c>
      <c r="G4" s="588">
        <v>0.56499999999999995</v>
      </c>
      <c r="H4" s="588">
        <v>0.28199999999999997</v>
      </c>
      <c r="I4" s="588">
        <v>0.51300000000000001</v>
      </c>
      <c r="J4" s="588">
        <v>0.20300000000000001</v>
      </c>
      <c r="K4" s="588">
        <v>0.51700000000000002</v>
      </c>
      <c r="L4" s="147">
        <v>0.01</v>
      </c>
      <c r="M4" s="147">
        <v>0.01</v>
      </c>
      <c r="N4" s="588">
        <v>4.9000000000000002E-2</v>
      </c>
      <c r="O4" s="588">
        <v>0.13300000000000001</v>
      </c>
      <c r="P4" s="588">
        <v>3.7999999999999999E-2</v>
      </c>
      <c r="Q4" s="588">
        <v>0.14000000000000001</v>
      </c>
      <c r="R4" s="588">
        <v>6.7000000000000004E-2</v>
      </c>
      <c r="S4" s="588">
        <v>0.32</v>
      </c>
      <c r="T4" s="588">
        <v>0.13700000000000001</v>
      </c>
      <c r="U4" s="588">
        <v>0.31</v>
      </c>
      <c r="V4" s="588">
        <v>0.01</v>
      </c>
      <c r="W4" s="588">
        <v>0.52600000000000002</v>
      </c>
      <c r="X4" s="588">
        <v>0.52700000000000002</v>
      </c>
      <c r="Y4" s="588">
        <v>1E-3</v>
      </c>
      <c r="Z4" s="588">
        <v>0.17799999999999999</v>
      </c>
      <c r="AA4" s="588">
        <v>4.9000000000000002E-2</v>
      </c>
      <c r="AB4" s="588">
        <v>0.156</v>
      </c>
      <c r="AC4" s="588">
        <v>7.5999999999999998E-2</v>
      </c>
      <c r="AD4" s="588">
        <v>9.8000000000000004E-2</v>
      </c>
      <c r="AE4" s="588">
        <v>0.127</v>
      </c>
      <c r="AF4" s="94"/>
      <c r="AG4" s="147" t="s">
        <v>1197</v>
      </c>
      <c r="AH4" s="585" t="str">
        <f>IF('Lower Extremity-Right'!T14="","",'Lower Extremity-Right'!T14)</f>
        <v/>
      </c>
      <c r="AI4" s="585" t="str">
        <f>IF(AH4="","",ROUND(AH4,0))</f>
        <v/>
      </c>
      <c r="AJ4" s="194">
        <f>IF(AI4="",0,VLOOKUP(AI4,$A$3:$AE$154,3))</f>
        <v>0</v>
      </c>
      <c r="AK4" s="62"/>
      <c r="AL4" s="14"/>
      <c r="AM4" s="62"/>
      <c r="AN4" s="62"/>
      <c r="AO4" s="95"/>
      <c r="AP4" s="14"/>
      <c r="AQ4" s="147" t="s">
        <v>1197</v>
      </c>
      <c r="AR4" s="585" t="str">
        <f>IF('Lower Extremity-Left'!T14="","",'Lower Extremity-Left'!T14)</f>
        <v/>
      </c>
      <c r="AS4" s="585" t="str">
        <f>IF(AR4="","",ROUND(AR4,0))</f>
        <v/>
      </c>
      <c r="AT4" s="194">
        <f>IF(AS4="",0,VLOOKUP(AS4,$A$3:$AE$154,3))</f>
        <v>0</v>
      </c>
      <c r="AU4" s="62"/>
      <c r="AV4" s="14"/>
      <c r="AW4" s="62"/>
      <c r="AX4" s="62"/>
      <c r="AY4" s="95"/>
    </row>
    <row r="5" spans="1:51" x14ac:dyDescent="0.3">
      <c r="A5" s="50">
        <v>2</v>
      </c>
      <c r="B5" s="588">
        <v>0.42</v>
      </c>
      <c r="C5" s="588">
        <v>0.47</v>
      </c>
      <c r="D5" s="588">
        <v>0.32800000000000001</v>
      </c>
      <c r="E5" s="588">
        <v>0.53800000000000003</v>
      </c>
      <c r="F5" s="588">
        <v>0.19600000000000001</v>
      </c>
      <c r="G5" s="588">
        <v>0.57999999999999996</v>
      </c>
      <c r="H5" s="588">
        <v>0.27400000000000002</v>
      </c>
      <c r="I5" s="588">
        <v>0.52600000000000002</v>
      </c>
      <c r="J5" s="588">
        <v>0.19600000000000001</v>
      </c>
      <c r="K5" s="588">
        <v>0.53400000000000003</v>
      </c>
      <c r="L5" s="147">
        <v>0.01</v>
      </c>
      <c r="M5" s="147">
        <v>0.01</v>
      </c>
      <c r="N5" s="588">
        <v>4.8000000000000001E-2</v>
      </c>
      <c r="O5" s="588">
        <v>0.16600000000000001</v>
      </c>
      <c r="P5" s="588">
        <v>3.5999999999999997E-2</v>
      </c>
      <c r="Q5" s="588">
        <v>0.18</v>
      </c>
      <c r="R5" s="588">
        <v>6.4000000000000001E-2</v>
      </c>
      <c r="S5" s="588">
        <v>0.34</v>
      </c>
      <c r="T5" s="588">
        <v>0.13400000000000001</v>
      </c>
      <c r="U5" s="588">
        <v>0.32</v>
      </c>
      <c r="V5" s="588">
        <v>0.02</v>
      </c>
      <c r="W5" s="588">
        <v>0.52200000000000002</v>
      </c>
      <c r="X5" s="588">
        <v>0.52400000000000002</v>
      </c>
      <c r="Y5" s="588">
        <v>2E-3</v>
      </c>
      <c r="Z5" s="588">
        <v>0.17599999999999999</v>
      </c>
      <c r="AA5" s="588">
        <v>4.8000000000000001E-2</v>
      </c>
      <c r="AB5" s="588">
        <v>0.152</v>
      </c>
      <c r="AC5" s="588">
        <v>7.1999999999999995E-2</v>
      </c>
      <c r="AD5" s="588">
        <v>9.6000000000000002E-2</v>
      </c>
      <c r="AE5" s="588">
        <v>0.124</v>
      </c>
      <c r="AF5" s="94"/>
      <c r="AG5" s="14"/>
      <c r="AH5" s="62"/>
      <c r="AI5" s="62"/>
      <c r="AJ5" s="14"/>
      <c r="AK5" s="62"/>
      <c r="AL5" s="14"/>
      <c r="AM5" s="14"/>
      <c r="AN5" s="14"/>
      <c r="AO5" s="14"/>
      <c r="AP5" s="14"/>
      <c r="AQ5" s="14"/>
      <c r="AR5" s="62"/>
      <c r="AS5" s="62"/>
      <c r="AT5" s="14"/>
      <c r="AU5" s="62"/>
      <c r="AV5" s="14"/>
      <c r="AW5" s="14"/>
      <c r="AX5" s="14"/>
      <c r="AY5" s="14"/>
    </row>
    <row r="6" spans="1:51" x14ac:dyDescent="0.3">
      <c r="A6" s="50">
        <v>3</v>
      </c>
      <c r="B6" s="588">
        <v>0.40500000000000003</v>
      </c>
      <c r="C6" s="588">
        <v>0.48</v>
      </c>
      <c r="D6" s="588">
        <v>0.32200000000000001</v>
      </c>
      <c r="E6" s="588">
        <v>0.53200000000000003</v>
      </c>
      <c r="F6" s="588">
        <v>0.189</v>
      </c>
      <c r="G6" s="588">
        <v>0.59499999999999997</v>
      </c>
      <c r="H6" s="588">
        <v>0.26600000000000001</v>
      </c>
      <c r="I6" s="588">
        <v>0.53900000000000003</v>
      </c>
      <c r="J6" s="588">
        <v>0.189</v>
      </c>
      <c r="K6" s="588">
        <v>0.55100000000000005</v>
      </c>
      <c r="L6" s="147">
        <v>0.01</v>
      </c>
      <c r="M6" s="147">
        <v>0.01</v>
      </c>
      <c r="N6" s="588">
        <v>4.7E-2</v>
      </c>
      <c r="O6" s="588">
        <v>0.19900000000000001</v>
      </c>
      <c r="P6" s="588">
        <v>3.4000000000000002E-2</v>
      </c>
      <c r="Q6" s="588">
        <v>0.22</v>
      </c>
      <c r="R6" s="588">
        <v>6.0999999999999999E-2</v>
      </c>
      <c r="S6" s="588">
        <v>0.36</v>
      </c>
      <c r="T6" s="588">
        <v>0.13100000000000001</v>
      </c>
      <c r="U6" s="588">
        <v>0.33</v>
      </c>
      <c r="V6" s="588">
        <v>0.03</v>
      </c>
      <c r="W6" s="588">
        <v>0.51800000000000002</v>
      </c>
      <c r="X6" s="588">
        <v>0.52100000000000002</v>
      </c>
      <c r="Y6" s="588">
        <v>3.0000000000000001E-3</v>
      </c>
      <c r="Z6" s="588">
        <v>0.17399999999999999</v>
      </c>
      <c r="AA6" s="588">
        <v>4.7E-2</v>
      </c>
      <c r="AB6" s="588">
        <v>0.14799999999999999</v>
      </c>
      <c r="AC6" s="588">
        <v>6.8000000000000005E-2</v>
      </c>
      <c r="AD6" s="588">
        <v>9.4E-2</v>
      </c>
      <c r="AE6" s="588">
        <v>0.121</v>
      </c>
      <c r="AF6" s="94"/>
      <c r="AG6" s="147" t="s">
        <v>1420</v>
      </c>
      <c r="AH6" s="585" t="str">
        <f>IF('Lower Extremity-Right'!T16="","",'Lower Extremity-Right'!T16)</f>
        <v/>
      </c>
      <c r="AI6" s="585" t="str">
        <f>IF(AH6="","",ROUND(AH6,0))</f>
        <v/>
      </c>
      <c r="AJ6" s="194">
        <f>IF(AI6="",0,VLOOKUP(AI6,$A$3:$AE$154,4))</f>
        <v>0</v>
      </c>
      <c r="AK6" s="62"/>
      <c r="AL6" s="147" t="s">
        <v>1421</v>
      </c>
      <c r="AM6" s="585" t="str">
        <f>IF('Lower Extremity-Right'!V16="","",'Lower Extremity-Right'!V16)</f>
        <v/>
      </c>
      <c r="AN6" s="585" t="str">
        <f>IF(AM6="","",ROUND(AM6,0))</f>
        <v/>
      </c>
      <c r="AO6" s="194">
        <f>IF(AN6="",0,VLOOKUP(AN6,$A$3:$AE$154,4))</f>
        <v>0</v>
      </c>
      <c r="AP6" s="14"/>
      <c r="AQ6" s="147" t="s">
        <v>1420</v>
      </c>
      <c r="AR6" s="585" t="str">
        <f>IF('Lower Extremity-Left'!T16="","",'Lower Extremity-Left'!T16)</f>
        <v/>
      </c>
      <c r="AS6" s="585" t="str">
        <f>IF(AR6="","",ROUND(AR6,0))</f>
        <v/>
      </c>
      <c r="AT6" s="194">
        <f>IF(AS6="",0,VLOOKUP(AS6,$A$3:$AE$154,4))</f>
        <v>0</v>
      </c>
      <c r="AU6" s="62"/>
      <c r="AV6" s="147" t="s">
        <v>1421</v>
      </c>
      <c r="AW6" s="585" t="str">
        <f>IF('Lower Extremity-Left'!V16="","",'Lower Extremity-Left'!V16)</f>
        <v/>
      </c>
      <c r="AX6" s="585" t="str">
        <f>IF(AW6="","",ROUND(AW6,0))</f>
        <v/>
      </c>
      <c r="AY6" s="194">
        <f>IF(AX6="",0,VLOOKUP(AX6,$A$3:$AE$154,4))</f>
        <v>0</v>
      </c>
    </row>
    <row r="7" spans="1:51" x14ac:dyDescent="0.3">
      <c r="A7" s="50">
        <v>4</v>
      </c>
      <c r="B7" s="588">
        <v>0.39</v>
      </c>
      <c r="C7" s="588">
        <v>0.49</v>
      </c>
      <c r="D7" s="588">
        <v>0.316</v>
      </c>
      <c r="E7" s="588">
        <v>0.52600000000000002</v>
      </c>
      <c r="F7" s="588">
        <v>0.182</v>
      </c>
      <c r="G7" s="588">
        <v>0.61</v>
      </c>
      <c r="H7" s="588">
        <v>0.25800000000000001</v>
      </c>
      <c r="I7" s="588">
        <v>0.55200000000000005</v>
      </c>
      <c r="J7" s="588">
        <v>0.182</v>
      </c>
      <c r="K7" s="588">
        <v>0.56799999999999995</v>
      </c>
      <c r="L7" s="147">
        <v>0.01</v>
      </c>
      <c r="M7" s="147">
        <v>0.01</v>
      </c>
      <c r="N7" s="588">
        <v>4.5999999999999999E-2</v>
      </c>
      <c r="O7" s="588">
        <v>0.23200000000000001</v>
      </c>
      <c r="P7" s="588">
        <v>3.2000000000000001E-2</v>
      </c>
      <c r="Q7" s="588">
        <v>0.26</v>
      </c>
      <c r="R7" s="588">
        <v>5.8000000000000003E-2</v>
      </c>
      <c r="S7" s="588">
        <v>0.38</v>
      </c>
      <c r="T7" s="588">
        <v>0.128</v>
      </c>
      <c r="U7" s="588">
        <v>0.34</v>
      </c>
      <c r="V7" s="588">
        <v>0.04</v>
      </c>
      <c r="W7" s="588">
        <v>0.51400000000000001</v>
      </c>
      <c r="X7" s="588">
        <v>0.51800000000000002</v>
      </c>
      <c r="Y7" s="588">
        <v>4.0000000000000001E-3</v>
      </c>
      <c r="Z7" s="588">
        <v>0.17199999999999999</v>
      </c>
      <c r="AA7" s="588">
        <v>4.5999999999999999E-2</v>
      </c>
      <c r="AB7" s="588">
        <v>0.14399999999999999</v>
      </c>
      <c r="AC7" s="588">
        <v>6.4000000000000001E-2</v>
      </c>
      <c r="AD7" s="588">
        <v>9.1999999999999998E-2</v>
      </c>
      <c r="AE7" s="588">
        <v>0.11799999999999999</v>
      </c>
      <c r="AF7" s="94"/>
      <c r="AG7" s="147" t="s">
        <v>1422</v>
      </c>
      <c r="AH7" s="585" t="str">
        <f>IF('Lower Extremity-Right'!T17="","",'Lower Extremity-Right'!T17)</f>
        <v/>
      </c>
      <c r="AI7" s="585" t="str">
        <f>IF(AH7="","",ROUND(AH7,0))</f>
        <v/>
      </c>
      <c r="AJ7" s="194">
        <f>IF(AI7="",0,VLOOKUP(AI7,$A$3:$AE$154,5))</f>
        <v>0</v>
      </c>
      <c r="AK7" s="62"/>
      <c r="AL7" s="14"/>
      <c r="AM7" s="14"/>
      <c r="AN7" s="14"/>
      <c r="AO7" s="14"/>
      <c r="AP7" s="14"/>
      <c r="AQ7" s="147" t="s">
        <v>1422</v>
      </c>
      <c r="AR7" s="585" t="str">
        <f>IF('Lower Extremity-Left'!T17="","",'Lower Extremity-Left'!T17)</f>
        <v/>
      </c>
      <c r="AS7" s="585" t="str">
        <f>IF(AR7="","",ROUND(AR7,0))</f>
        <v/>
      </c>
      <c r="AT7" s="194">
        <f>IF(AS7="",0,VLOOKUP(AS7,$A$3:$AE$154,5))</f>
        <v>0</v>
      </c>
      <c r="AU7" s="62"/>
      <c r="AV7" s="14"/>
      <c r="AW7" s="14"/>
      <c r="AX7" s="14"/>
      <c r="AY7" s="14"/>
    </row>
    <row r="8" spans="1:51" x14ac:dyDescent="0.3">
      <c r="A8" s="50">
        <v>5</v>
      </c>
      <c r="B8" s="588">
        <v>0.375</v>
      </c>
      <c r="C8" s="588">
        <v>0.5</v>
      </c>
      <c r="D8" s="588">
        <v>0.31</v>
      </c>
      <c r="E8" s="588">
        <v>0.52</v>
      </c>
      <c r="F8" s="588">
        <v>0.17499999999999999</v>
      </c>
      <c r="G8" s="588">
        <v>0.625</v>
      </c>
      <c r="H8" s="588">
        <v>0.25</v>
      </c>
      <c r="I8" s="588">
        <v>0.56499999999999995</v>
      </c>
      <c r="J8" s="588">
        <v>0.17499999999999999</v>
      </c>
      <c r="K8" s="588">
        <v>0.58499999999999996</v>
      </c>
      <c r="L8" s="147">
        <v>0.01</v>
      </c>
      <c r="M8" s="147">
        <v>0.01</v>
      </c>
      <c r="N8" s="588">
        <v>4.4999999999999998E-2</v>
      </c>
      <c r="O8" s="588">
        <v>0.26500000000000001</v>
      </c>
      <c r="P8" s="588">
        <v>0.03</v>
      </c>
      <c r="Q8" s="588">
        <v>0.3</v>
      </c>
      <c r="R8" s="588">
        <v>5.5E-2</v>
      </c>
      <c r="S8" s="588">
        <v>0.4</v>
      </c>
      <c r="T8" s="588">
        <v>0.125</v>
      </c>
      <c r="U8" s="588">
        <v>0.35</v>
      </c>
      <c r="V8" s="588">
        <v>0.05</v>
      </c>
      <c r="W8" s="588">
        <v>0.51</v>
      </c>
      <c r="X8" s="588">
        <v>0.51500000000000001</v>
      </c>
      <c r="Y8" s="588">
        <v>5.0000000000000001E-3</v>
      </c>
      <c r="Z8" s="588">
        <v>0.17</v>
      </c>
      <c r="AA8" s="588">
        <v>4.4999999999999998E-2</v>
      </c>
      <c r="AB8" s="588">
        <v>0.14000000000000001</v>
      </c>
      <c r="AC8" s="588">
        <v>0.06</v>
      </c>
      <c r="AD8" s="588">
        <v>0.09</v>
      </c>
      <c r="AE8" s="588">
        <v>0.115</v>
      </c>
      <c r="AF8" s="94"/>
      <c r="AG8" s="147" t="s">
        <v>1423</v>
      </c>
      <c r="AH8" s="585" t="str">
        <f>IF('Lower Extremity-Right'!T18="","",'Lower Extremity-Right'!T18)</f>
        <v/>
      </c>
      <c r="AI8" s="585" t="str">
        <f>IF(AH8="","",ROUND(AH8,0))</f>
        <v/>
      </c>
      <c r="AJ8" s="194">
        <f>IF(AI8="",0,VLOOKUP(AI8,$A$3:$AE$154,6))</f>
        <v>0</v>
      </c>
      <c r="AK8" s="62"/>
      <c r="AL8" s="14" t="s">
        <v>1421</v>
      </c>
      <c r="AM8" s="62" t="str">
        <f>IF('Lower Extremity-Right'!V18="","",'Lower Extremity-Right'!V18)</f>
        <v/>
      </c>
      <c r="AN8" s="62" t="str">
        <f>IF(AM8="","",ROUND(AM8,0))</f>
        <v/>
      </c>
      <c r="AO8" s="95">
        <f>IF(AN8="",0,VLOOKUP(AN8,$A$3:$AE$154,6))</f>
        <v>0</v>
      </c>
      <c r="AP8" s="14"/>
      <c r="AQ8" s="147" t="s">
        <v>1423</v>
      </c>
      <c r="AR8" s="585" t="str">
        <f>IF('Lower Extremity-Left'!T18="","",'Lower Extremity-Left'!T18)</f>
        <v/>
      </c>
      <c r="AS8" s="585" t="str">
        <f>IF(AR8="","",ROUND(AR8,0))</f>
        <v/>
      </c>
      <c r="AT8" s="194">
        <f>IF(AS8="",0,VLOOKUP(AS8,$A$3:$AE$154,6))</f>
        <v>0</v>
      </c>
      <c r="AU8" s="62"/>
      <c r="AV8" s="147" t="s">
        <v>1421</v>
      </c>
      <c r="AW8" s="585" t="str">
        <f>IF('Lower Extremity-Left'!V18="","",'Lower Extremity-Left'!V18)</f>
        <v/>
      </c>
      <c r="AX8" s="585" t="str">
        <f>IF(AW8="","",ROUND(AW8,0))</f>
        <v/>
      </c>
      <c r="AY8" s="194">
        <f>IF(AX8="",0,VLOOKUP(AX8,$A$3:$AE$154,6))</f>
        <v>0</v>
      </c>
    </row>
    <row r="9" spans="1:51" x14ac:dyDescent="0.3">
      <c r="A9" s="50">
        <v>6</v>
      </c>
      <c r="B9" s="588">
        <v>0.36</v>
      </c>
      <c r="C9" s="588">
        <v>0.51</v>
      </c>
      <c r="D9" s="588">
        <v>0.30399999999999999</v>
      </c>
      <c r="E9" s="588">
        <v>0.51400000000000001</v>
      </c>
      <c r="F9" s="588">
        <v>0.16800000000000001</v>
      </c>
      <c r="G9" s="588">
        <v>0.64</v>
      </c>
      <c r="H9" s="588">
        <v>0.24199999999999999</v>
      </c>
      <c r="I9" s="588">
        <v>0.57799999999999996</v>
      </c>
      <c r="J9" s="588">
        <v>0.16800000000000001</v>
      </c>
      <c r="K9" s="588">
        <v>0.60199999999999998</v>
      </c>
      <c r="L9" s="147">
        <v>0.01</v>
      </c>
      <c r="M9" s="147">
        <v>0.01</v>
      </c>
      <c r="N9" s="588">
        <v>4.3999999999999997E-2</v>
      </c>
      <c r="O9" s="588">
        <v>0.29799999999999999</v>
      </c>
      <c r="P9" s="588">
        <v>2.8000000000000001E-2</v>
      </c>
      <c r="Q9" s="588">
        <v>0.34</v>
      </c>
      <c r="R9" s="588">
        <v>5.1999999999999998E-2</v>
      </c>
      <c r="S9" s="588">
        <v>0.42</v>
      </c>
      <c r="T9" s="588">
        <v>0.122</v>
      </c>
      <c r="U9" s="588">
        <v>0.36</v>
      </c>
      <c r="V9" s="588">
        <v>0.05</v>
      </c>
      <c r="W9" s="588">
        <v>0.50600000000000001</v>
      </c>
      <c r="X9" s="588">
        <v>0.51200000000000001</v>
      </c>
      <c r="Y9" s="588">
        <v>6.0000000000000001E-3</v>
      </c>
      <c r="Z9" s="588">
        <v>0.16800000000000001</v>
      </c>
      <c r="AA9" s="588">
        <v>4.3999999999999997E-2</v>
      </c>
      <c r="AB9" s="588">
        <v>0.13600000000000001</v>
      </c>
      <c r="AC9" s="588">
        <v>5.6000000000000001E-2</v>
      </c>
      <c r="AD9" s="588">
        <v>8.7999999999999995E-2</v>
      </c>
      <c r="AE9" s="588">
        <v>0.112</v>
      </c>
      <c r="AF9" s="94"/>
      <c r="AG9" s="147" t="s">
        <v>1424</v>
      </c>
      <c r="AH9" s="585" t="str">
        <f>IF('Lower Extremity-Right'!T19="","",'Lower Extremity-Right'!T19)</f>
        <v/>
      </c>
      <c r="AI9" s="585" t="str">
        <f>IF(AH9="","",ROUND(AH9,0))</f>
        <v/>
      </c>
      <c r="AJ9" s="194">
        <f>IF(AI9="",0,VLOOKUP(AI9,$A$3:$AE$154,7))</f>
        <v>0</v>
      </c>
      <c r="AK9" s="62"/>
      <c r="AL9" s="14"/>
      <c r="AM9" s="14"/>
      <c r="AN9" s="14"/>
      <c r="AO9" s="14"/>
      <c r="AP9" s="14"/>
      <c r="AQ9" s="147" t="s">
        <v>1424</v>
      </c>
      <c r="AR9" s="585" t="str">
        <f>IF('Lower Extremity-Left'!T19="","",'Lower Extremity-Left'!T19)</f>
        <v/>
      </c>
      <c r="AS9" s="585" t="str">
        <f>IF(AR9="","",ROUND(AR9,0))</f>
        <v/>
      </c>
      <c r="AT9" s="194">
        <f>IF(AS9="",0,VLOOKUP(AS9,$A$3:$AE$154,7))</f>
        <v>0</v>
      </c>
      <c r="AU9" s="62"/>
      <c r="AV9" s="14"/>
      <c r="AW9" s="14"/>
      <c r="AX9" s="14"/>
      <c r="AY9" s="14"/>
    </row>
    <row r="10" spans="1:51" x14ac:dyDescent="0.3">
      <c r="A10" s="50">
        <v>7</v>
      </c>
      <c r="B10" s="588">
        <v>0.34499999999999997</v>
      </c>
      <c r="C10" s="588">
        <v>0.52</v>
      </c>
      <c r="D10" s="588">
        <v>0.29799999999999999</v>
      </c>
      <c r="E10" s="588">
        <v>0.50800000000000001</v>
      </c>
      <c r="F10" s="588">
        <v>0.161</v>
      </c>
      <c r="G10" s="588">
        <v>0.65500000000000003</v>
      </c>
      <c r="H10" s="588">
        <v>0.23400000000000001</v>
      </c>
      <c r="I10" s="588">
        <v>0.59099999999999997</v>
      </c>
      <c r="J10" s="588">
        <v>0.161</v>
      </c>
      <c r="K10" s="588">
        <v>0.61899999999999999</v>
      </c>
      <c r="L10" s="147">
        <v>0.01</v>
      </c>
      <c r="M10" s="147">
        <v>0.01</v>
      </c>
      <c r="N10" s="588">
        <v>4.2999999999999997E-2</v>
      </c>
      <c r="O10" s="588">
        <v>0.33100000000000002</v>
      </c>
      <c r="P10" s="588">
        <v>2.5999999999999999E-2</v>
      </c>
      <c r="Q10" s="588">
        <v>0.38</v>
      </c>
      <c r="R10" s="588">
        <v>4.9000000000000002E-2</v>
      </c>
      <c r="S10" s="588">
        <v>0.44</v>
      </c>
      <c r="T10" s="588">
        <v>0.11899999999999999</v>
      </c>
      <c r="U10" s="588">
        <v>0.37</v>
      </c>
      <c r="V10" s="588">
        <v>0.06</v>
      </c>
      <c r="W10" s="588">
        <v>0.502</v>
      </c>
      <c r="X10" s="588">
        <v>0.50900000000000001</v>
      </c>
      <c r="Y10" s="588">
        <v>7.0000000000000001E-3</v>
      </c>
      <c r="Z10" s="588">
        <v>0.16600000000000001</v>
      </c>
      <c r="AA10" s="588">
        <v>4.2999999999999997E-2</v>
      </c>
      <c r="AB10" s="588">
        <v>0.13200000000000001</v>
      </c>
      <c r="AC10" s="588">
        <v>5.1999999999999998E-2</v>
      </c>
      <c r="AD10" s="588">
        <v>8.5999999999999993E-2</v>
      </c>
      <c r="AE10" s="588">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3">
      <c r="A11" s="50">
        <v>8</v>
      </c>
      <c r="B11" s="588">
        <v>0.33</v>
      </c>
      <c r="C11" s="588">
        <v>0.53</v>
      </c>
      <c r="D11" s="588">
        <v>0.29199999999999998</v>
      </c>
      <c r="E11" s="588">
        <v>0.502</v>
      </c>
      <c r="F11" s="588">
        <v>0.154</v>
      </c>
      <c r="G11" s="588">
        <v>0.67</v>
      </c>
      <c r="H11" s="588">
        <v>0.22600000000000001</v>
      </c>
      <c r="I11" s="588">
        <v>0.60399999999999998</v>
      </c>
      <c r="J11" s="588">
        <v>0.154</v>
      </c>
      <c r="K11" s="588">
        <v>0.63600000000000001</v>
      </c>
      <c r="L11" s="147">
        <v>0.02</v>
      </c>
      <c r="M11" s="147">
        <v>0.01</v>
      </c>
      <c r="N11" s="588">
        <v>4.2000000000000003E-2</v>
      </c>
      <c r="O11" s="588">
        <v>0.36399999999999999</v>
      </c>
      <c r="P11" s="588">
        <v>2.4E-2</v>
      </c>
      <c r="Q11" s="588">
        <v>0.42</v>
      </c>
      <c r="R11" s="588">
        <v>4.5999999999999999E-2</v>
      </c>
      <c r="S11" s="588">
        <v>0.46</v>
      </c>
      <c r="T11" s="588">
        <v>0.11600000000000001</v>
      </c>
      <c r="U11" s="588">
        <v>0.38</v>
      </c>
      <c r="V11" s="588">
        <v>7.0000000000000007E-2</v>
      </c>
      <c r="W11" s="588">
        <v>0.498</v>
      </c>
      <c r="X11" s="588">
        <v>0.50600000000000001</v>
      </c>
      <c r="Y11" s="588">
        <v>8.0000000000000002E-3</v>
      </c>
      <c r="Z11" s="588">
        <v>0.16400000000000001</v>
      </c>
      <c r="AA11" s="588">
        <v>4.2000000000000003E-2</v>
      </c>
      <c r="AB11" s="588">
        <v>0.128</v>
      </c>
      <c r="AC11" s="588">
        <v>4.8000000000000001E-2</v>
      </c>
      <c r="AD11" s="588">
        <v>8.4000000000000005E-2</v>
      </c>
      <c r="AE11" s="588">
        <v>0.106</v>
      </c>
      <c r="AF11" s="94"/>
      <c r="AG11" s="147" t="s">
        <v>1425</v>
      </c>
      <c r="AH11" s="62"/>
      <c r="AI11" s="62"/>
      <c r="AJ11" s="14"/>
      <c r="AK11" s="62"/>
      <c r="AL11" s="14"/>
      <c r="AM11" s="14"/>
      <c r="AN11" s="14"/>
      <c r="AO11" s="14"/>
      <c r="AP11" s="14"/>
      <c r="AQ11" s="147" t="s">
        <v>1425</v>
      </c>
      <c r="AR11" s="62"/>
      <c r="AS11" s="62"/>
      <c r="AT11" s="14"/>
      <c r="AU11" s="62"/>
      <c r="AV11" s="14"/>
      <c r="AW11" s="14"/>
      <c r="AX11" s="14"/>
      <c r="AY11" s="14"/>
    </row>
    <row r="12" spans="1:51" x14ac:dyDescent="0.3">
      <c r="A12" s="50">
        <v>9</v>
      </c>
      <c r="B12" s="588">
        <v>0.315</v>
      </c>
      <c r="C12" s="588">
        <v>0.54</v>
      </c>
      <c r="D12" s="588">
        <v>0.28599999999999998</v>
      </c>
      <c r="E12" s="588">
        <v>0.496</v>
      </c>
      <c r="F12" s="588">
        <v>0.14699999999999999</v>
      </c>
      <c r="G12" s="588">
        <v>0.68500000000000005</v>
      </c>
      <c r="H12" s="588">
        <v>0.218</v>
      </c>
      <c r="I12" s="588">
        <v>0.61699999999999999</v>
      </c>
      <c r="J12" s="588">
        <v>0.14699999999999999</v>
      </c>
      <c r="K12" s="588">
        <v>0.65300000000000002</v>
      </c>
      <c r="L12" s="147">
        <v>0.02</v>
      </c>
      <c r="M12" s="147">
        <v>0.01</v>
      </c>
      <c r="N12" s="588">
        <v>4.1000000000000002E-2</v>
      </c>
      <c r="O12" s="588">
        <v>0.39700000000000002</v>
      </c>
      <c r="P12" s="588">
        <v>2.1999999999999999E-2</v>
      </c>
      <c r="Q12" s="588">
        <v>0.46</v>
      </c>
      <c r="R12" s="588">
        <v>4.2999999999999997E-2</v>
      </c>
      <c r="S12" s="588">
        <v>0.48</v>
      </c>
      <c r="T12" s="588">
        <v>0.113</v>
      </c>
      <c r="U12" s="588">
        <v>0.39</v>
      </c>
      <c r="V12" s="588">
        <v>0.08</v>
      </c>
      <c r="W12" s="588">
        <v>0.49399999999999999</v>
      </c>
      <c r="X12" s="588">
        <v>0.503</v>
      </c>
      <c r="Y12" s="588">
        <v>8.9999999999999993E-3</v>
      </c>
      <c r="Z12" s="588">
        <v>0.16200000000000001</v>
      </c>
      <c r="AA12" s="588">
        <v>4.1000000000000002E-2</v>
      </c>
      <c r="AB12" s="588">
        <v>0.124</v>
      </c>
      <c r="AC12" s="588">
        <v>4.3999999999999997E-2</v>
      </c>
      <c r="AD12" s="588">
        <v>8.2000000000000003E-2</v>
      </c>
      <c r="AE12" s="588">
        <v>0.10299999999999999</v>
      </c>
      <c r="AF12" s="94"/>
      <c r="AG12" s="147" t="s">
        <v>1420</v>
      </c>
      <c r="AH12" s="585" t="str">
        <f>IF('Lower Extremity-Right'!T54="","",'Lower Extremity-Right'!T54)</f>
        <v/>
      </c>
      <c r="AI12" s="585" t="str">
        <f>IF(AH12="","",ROUND(AH12,0))</f>
        <v/>
      </c>
      <c r="AJ12" s="194">
        <f>IF(AI12="",0,VLOOKUP(AI12,$A$3:$AE$154,8))</f>
        <v>0</v>
      </c>
      <c r="AK12" s="62"/>
      <c r="AL12" s="147" t="s">
        <v>1421</v>
      </c>
      <c r="AM12" s="585" t="str">
        <f>IF('Lower Extremity-Right'!V54="","",'Lower Extremity-Right'!V54)</f>
        <v/>
      </c>
      <c r="AN12" s="585" t="str">
        <f>IF(AM12="","",ROUND(AM12,0))</f>
        <v/>
      </c>
      <c r="AO12" s="194">
        <f>IF(AN12="",0,VLOOKUP(AN12,$A$3:$AE$154,8))</f>
        <v>0</v>
      </c>
      <c r="AP12" s="14"/>
      <c r="AQ12" s="147" t="s">
        <v>1420</v>
      </c>
      <c r="AR12" s="585" t="str">
        <f>IF('Lower Extremity-Left'!T54="","",'Lower Extremity-Left'!T54)</f>
        <v/>
      </c>
      <c r="AS12" s="585" t="str">
        <f>IF(AR12="","",ROUND(AR12,0))</f>
        <v/>
      </c>
      <c r="AT12" s="194">
        <f>IF(AS12="",0,VLOOKUP(AS12,$A$3:$AE$154,8))</f>
        <v>0</v>
      </c>
      <c r="AU12" s="62"/>
      <c r="AV12" s="147" t="s">
        <v>1421</v>
      </c>
      <c r="AW12" s="585" t="str">
        <f>IF('Lower Extremity-Left'!V54="","",'Lower Extremity-Left'!V54)</f>
        <v/>
      </c>
      <c r="AX12" s="585" t="str">
        <f>IF(AW12="","",ROUND(AW12,0))</f>
        <v/>
      </c>
      <c r="AY12" s="194">
        <f>IF(AX12="",0,VLOOKUP(AX12,$A$3:$AE$154,8))</f>
        <v>0</v>
      </c>
    </row>
    <row r="13" spans="1:51" x14ac:dyDescent="0.3">
      <c r="A13" s="50">
        <v>10</v>
      </c>
      <c r="B13" s="588">
        <v>0.3</v>
      </c>
      <c r="C13" s="588">
        <v>0.55000000000000004</v>
      </c>
      <c r="D13" s="588">
        <v>0.28000000000000003</v>
      </c>
      <c r="E13" s="588">
        <v>0.49</v>
      </c>
      <c r="F13" s="588">
        <v>0.14000000000000001</v>
      </c>
      <c r="G13" s="588">
        <v>0.7</v>
      </c>
      <c r="H13" s="588">
        <v>0.21</v>
      </c>
      <c r="I13" s="588">
        <v>0.63</v>
      </c>
      <c r="J13" s="588">
        <v>0.14000000000000001</v>
      </c>
      <c r="K13" s="588">
        <v>0.67</v>
      </c>
      <c r="L13" s="147">
        <v>0.02</v>
      </c>
      <c r="M13" s="147">
        <v>0.01</v>
      </c>
      <c r="N13" s="588">
        <v>0.04</v>
      </c>
      <c r="O13" s="588">
        <v>0.43</v>
      </c>
      <c r="P13" s="588">
        <v>0.02</v>
      </c>
      <c r="Q13" s="588">
        <v>0.5</v>
      </c>
      <c r="R13" s="588">
        <v>0.04</v>
      </c>
      <c r="S13" s="588">
        <v>0.5</v>
      </c>
      <c r="T13" s="588">
        <v>0.11</v>
      </c>
      <c r="U13" s="588">
        <v>0.4</v>
      </c>
      <c r="V13" s="588">
        <v>0.09</v>
      </c>
      <c r="W13" s="588">
        <v>0.49</v>
      </c>
      <c r="X13" s="588">
        <v>0.5</v>
      </c>
      <c r="Y13" s="588">
        <v>0.01</v>
      </c>
      <c r="Z13" s="588">
        <v>0.16</v>
      </c>
      <c r="AA13" s="588">
        <v>0.04</v>
      </c>
      <c r="AB13" s="588">
        <v>0.12</v>
      </c>
      <c r="AC13" s="588">
        <v>0.04</v>
      </c>
      <c r="AD13" s="588">
        <v>0.08</v>
      </c>
      <c r="AE13" s="588">
        <v>0.1</v>
      </c>
      <c r="AF13" s="94"/>
      <c r="AG13" s="147" t="s">
        <v>1422</v>
      </c>
      <c r="AH13" s="585" t="str">
        <f>IF('Lower Extremity-Right'!T55="","",'Lower Extremity-Right'!T55)</f>
        <v/>
      </c>
      <c r="AI13" s="585" t="str">
        <f>IF(AH13="","",ROUND(AH13,0))</f>
        <v/>
      </c>
      <c r="AJ13" s="194">
        <f>IF(AI13="",0,VLOOKUP(AI13,$A$3:$AE$154,9))</f>
        <v>0</v>
      </c>
      <c r="AK13" s="62"/>
      <c r="AL13" s="14"/>
      <c r="AM13" s="14"/>
      <c r="AN13" s="14"/>
      <c r="AO13" s="14"/>
      <c r="AP13" s="14"/>
      <c r="AQ13" s="147" t="s">
        <v>1422</v>
      </c>
      <c r="AR13" s="585" t="str">
        <f>IF('Lower Extremity-Left'!T55="","",'Lower Extremity-Left'!T55)</f>
        <v/>
      </c>
      <c r="AS13" s="585" t="str">
        <f>IF(AR13="","",ROUND(AR13,0))</f>
        <v/>
      </c>
      <c r="AT13" s="194">
        <f>IF(AS13="",0,VLOOKUP(AS13,$A$3:$AE$154,9))</f>
        <v>0</v>
      </c>
      <c r="AU13" s="62"/>
      <c r="AV13" s="14"/>
      <c r="AW13" s="14"/>
      <c r="AX13" s="14"/>
      <c r="AY13" s="14"/>
    </row>
    <row r="14" spans="1:51" x14ac:dyDescent="0.3">
      <c r="A14" s="50">
        <v>11</v>
      </c>
      <c r="B14" s="588">
        <v>0.28499999999999998</v>
      </c>
      <c r="C14" s="588">
        <v>0.56000000000000005</v>
      </c>
      <c r="D14" s="588">
        <v>0.27300000000000002</v>
      </c>
      <c r="E14" s="588">
        <v>0.503</v>
      </c>
      <c r="F14" s="588">
        <v>0.13300000000000001</v>
      </c>
      <c r="G14" s="588">
        <v>0.71499999999999997</v>
      </c>
      <c r="H14" s="588">
        <v>0.20300000000000001</v>
      </c>
      <c r="I14" s="588">
        <v>0.64200000000000002</v>
      </c>
      <c r="J14" s="588">
        <v>0.13300000000000001</v>
      </c>
      <c r="K14" s="588">
        <v>0.68600000000000005</v>
      </c>
      <c r="L14" s="147">
        <v>0.02</v>
      </c>
      <c r="M14" s="147">
        <v>0.01</v>
      </c>
      <c r="N14" s="588">
        <v>3.7999999999999999E-2</v>
      </c>
      <c r="O14" s="588">
        <v>0.44400000000000001</v>
      </c>
      <c r="P14" s="588">
        <v>1.7999999999999999E-2</v>
      </c>
      <c r="Q14" s="588">
        <v>0.51</v>
      </c>
      <c r="R14" s="588">
        <v>3.5999999999999997E-2</v>
      </c>
      <c r="S14" s="588">
        <v>0.52</v>
      </c>
      <c r="T14" s="588">
        <v>0.106</v>
      </c>
      <c r="U14" s="588">
        <v>0.41</v>
      </c>
      <c r="V14" s="588">
        <v>0.1</v>
      </c>
      <c r="W14" s="588">
        <v>0.48699999999999999</v>
      </c>
      <c r="X14" s="588">
        <v>0.51</v>
      </c>
      <c r="Y14" s="588">
        <v>1.6E-2</v>
      </c>
      <c r="Z14" s="588">
        <v>0.158</v>
      </c>
      <c r="AA14" s="588">
        <v>3.7999999999999999E-2</v>
      </c>
      <c r="AB14" s="588">
        <v>0.11600000000000001</v>
      </c>
      <c r="AC14" s="588">
        <v>3.5999999999999997E-2</v>
      </c>
      <c r="AD14" s="588">
        <v>7.6999999999999999E-2</v>
      </c>
      <c r="AE14" s="588">
        <v>9.8000000000000004E-2</v>
      </c>
      <c r="AF14" s="94"/>
      <c r="AG14" s="147" t="s">
        <v>1423</v>
      </c>
      <c r="AH14" s="585" t="str">
        <f>IF('Lower Extremity-Right'!T56="","",'Lower Extremity-Right'!T56)</f>
        <v/>
      </c>
      <c r="AI14" s="585" t="str">
        <f>IF(AH14="","",ROUND(AH14,0))</f>
        <v/>
      </c>
      <c r="AJ14" s="194">
        <f>IF(AI14="",0,VLOOKUP(AI14,$A$3:$AE$154,10))</f>
        <v>0</v>
      </c>
      <c r="AK14" s="62"/>
      <c r="AL14" s="147" t="s">
        <v>1421</v>
      </c>
      <c r="AM14" s="585" t="str">
        <f>IF('Lower Extremity-Right'!V56="","",'Lower Extremity-Right'!V56)</f>
        <v/>
      </c>
      <c r="AN14" s="585" t="str">
        <f>IF(AM14="","",ROUND(AM14,0))</f>
        <v/>
      </c>
      <c r="AO14" s="194">
        <f>IF(AN14="",0,VLOOKUP(AN14,$A$3:$AE$154,10))</f>
        <v>0</v>
      </c>
      <c r="AP14" s="14"/>
      <c r="AQ14" s="147" t="s">
        <v>1423</v>
      </c>
      <c r="AR14" s="585" t="str">
        <f>IF('Lower Extremity-Left'!T56="","",'Lower Extremity-Left'!T56)</f>
        <v/>
      </c>
      <c r="AS14" s="585" t="str">
        <f>IF(AR14="","",ROUND(AR14,0))</f>
        <v/>
      </c>
      <c r="AT14" s="194">
        <f>IF(AS14="",0,VLOOKUP(AS14,$A$3:$AE$154,10))</f>
        <v>0</v>
      </c>
      <c r="AU14" s="62"/>
      <c r="AV14" s="147" t="s">
        <v>1421</v>
      </c>
      <c r="AW14" s="585" t="str">
        <f>IF('Lower Extremity-Left'!V56="","",'Lower Extremity-Left'!V56)</f>
        <v/>
      </c>
      <c r="AX14" s="585" t="str">
        <f>IF(AW14="","",ROUND(AW14,0))</f>
        <v/>
      </c>
      <c r="AY14" s="194">
        <f>IF(AX14="",0,VLOOKUP(AX14,$A$3:$AE$154,10))</f>
        <v>0</v>
      </c>
    </row>
    <row r="15" spans="1:51" x14ac:dyDescent="0.3">
      <c r="A15" s="50">
        <v>12</v>
      </c>
      <c r="B15" s="588">
        <v>0.27</v>
      </c>
      <c r="C15" s="588">
        <v>0.56999999999999995</v>
      </c>
      <c r="D15" s="588">
        <v>0.26600000000000001</v>
      </c>
      <c r="E15" s="588">
        <v>0.51600000000000001</v>
      </c>
      <c r="F15" s="588">
        <v>0.126</v>
      </c>
      <c r="G15" s="588">
        <v>0.73</v>
      </c>
      <c r="H15" s="588">
        <v>0.19600000000000001</v>
      </c>
      <c r="I15" s="588">
        <v>0.65400000000000003</v>
      </c>
      <c r="J15" s="588">
        <v>0.126</v>
      </c>
      <c r="K15" s="588">
        <v>0.70199999999999996</v>
      </c>
      <c r="L15" s="147">
        <v>0.02</v>
      </c>
      <c r="M15" s="147">
        <v>0.01</v>
      </c>
      <c r="N15" s="588">
        <v>3.5999999999999997E-2</v>
      </c>
      <c r="O15" s="588">
        <v>0.45800000000000002</v>
      </c>
      <c r="P15" s="588">
        <v>1.6E-2</v>
      </c>
      <c r="Q15" s="588">
        <v>0.52</v>
      </c>
      <c r="R15" s="588">
        <v>3.2000000000000001E-2</v>
      </c>
      <c r="S15" s="588">
        <v>0.54</v>
      </c>
      <c r="T15" s="588">
        <v>0.10199999999999999</v>
      </c>
      <c r="U15" s="588">
        <v>0.42</v>
      </c>
      <c r="V15" s="588">
        <v>0.11</v>
      </c>
      <c r="W15" s="588">
        <v>0.48399999999999999</v>
      </c>
      <c r="X15" s="588">
        <v>0.52</v>
      </c>
      <c r="Y15" s="588">
        <v>2.1999999999999999E-2</v>
      </c>
      <c r="Z15" s="588">
        <v>0.156</v>
      </c>
      <c r="AA15" s="588">
        <v>3.5999999999999997E-2</v>
      </c>
      <c r="AB15" s="588">
        <v>0.112</v>
      </c>
      <c r="AC15" s="588">
        <v>3.2000000000000001E-2</v>
      </c>
      <c r="AD15" s="588">
        <v>7.3999999999999996E-2</v>
      </c>
      <c r="AE15" s="588">
        <v>9.6000000000000002E-2</v>
      </c>
      <c r="AF15" s="94"/>
      <c r="AG15" s="147" t="s">
        <v>1424</v>
      </c>
      <c r="AH15" s="585" t="str">
        <f>IF('Lower Extremity-Right'!T57="","",'Lower Extremity-Right'!T57)</f>
        <v/>
      </c>
      <c r="AI15" s="585" t="str">
        <f>IF(AH15="","",ROUND(AH15,0))</f>
        <v/>
      </c>
      <c r="AJ15" s="194">
        <f>IF(AI15="",0,VLOOKUP(AI15,$A$3:$AE$154,11))</f>
        <v>0</v>
      </c>
      <c r="AK15" s="62"/>
      <c r="AL15" s="14"/>
      <c r="AM15" s="14"/>
      <c r="AN15" s="14"/>
      <c r="AO15" s="14"/>
      <c r="AP15" s="14"/>
      <c r="AQ15" s="147" t="s">
        <v>1424</v>
      </c>
      <c r="AR15" s="585" t="str">
        <f>IF('Lower Extremity-Left'!T57="","",'Lower Extremity-Left'!T57)</f>
        <v/>
      </c>
      <c r="AS15" s="585" t="str">
        <f>IF(AR15="","",ROUND(AR15,0))</f>
        <v/>
      </c>
      <c r="AT15" s="194">
        <f>IF(AS15="",0,VLOOKUP(AS15,$A$3:$AE$154,11))</f>
        <v>0</v>
      </c>
      <c r="AU15" s="62"/>
      <c r="AV15" s="14"/>
      <c r="AW15" s="14"/>
      <c r="AX15" s="14"/>
      <c r="AY15" s="14"/>
    </row>
    <row r="16" spans="1:51" x14ac:dyDescent="0.3">
      <c r="A16" s="50">
        <v>13</v>
      </c>
      <c r="B16" s="588">
        <v>0.255</v>
      </c>
      <c r="C16" s="588">
        <v>0.57999999999999996</v>
      </c>
      <c r="D16" s="588">
        <v>0.25900000000000001</v>
      </c>
      <c r="E16" s="588">
        <v>0.52900000000000003</v>
      </c>
      <c r="F16" s="588">
        <v>0.11899999999999999</v>
      </c>
      <c r="G16" s="588">
        <v>0.745</v>
      </c>
      <c r="H16" s="588">
        <v>0.189</v>
      </c>
      <c r="I16" s="588">
        <v>0.66600000000000004</v>
      </c>
      <c r="J16" s="588">
        <v>0.11899999999999999</v>
      </c>
      <c r="K16" s="588">
        <v>0.71799999999999997</v>
      </c>
      <c r="L16" s="147">
        <v>0.02</v>
      </c>
      <c r="M16" s="147">
        <v>0.01</v>
      </c>
      <c r="N16" s="588">
        <v>3.4000000000000002E-2</v>
      </c>
      <c r="O16" s="588">
        <v>0.47199999999999998</v>
      </c>
      <c r="P16" s="588">
        <v>1.4E-2</v>
      </c>
      <c r="Q16" s="588">
        <v>0.53</v>
      </c>
      <c r="R16" s="588">
        <v>2.8000000000000001E-2</v>
      </c>
      <c r="S16" s="588">
        <v>0.56000000000000005</v>
      </c>
      <c r="T16" s="588">
        <v>9.8000000000000004E-2</v>
      </c>
      <c r="U16" s="588">
        <v>0.43</v>
      </c>
      <c r="V16" s="588">
        <v>0.12</v>
      </c>
      <c r="W16" s="588">
        <v>0.48099999999999998</v>
      </c>
      <c r="X16" s="588">
        <v>0.53</v>
      </c>
      <c r="Y16" s="588">
        <v>2.8000000000000001E-2</v>
      </c>
      <c r="Z16" s="588">
        <v>0.154</v>
      </c>
      <c r="AA16" s="588">
        <v>3.4000000000000002E-2</v>
      </c>
      <c r="AB16" s="588">
        <v>0.108</v>
      </c>
      <c r="AC16" s="588">
        <v>2.8000000000000001E-2</v>
      </c>
      <c r="AD16" s="588">
        <v>7.0999999999999994E-2</v>
      </c>
      <c r="AE16" s="588">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3">
      <c r="A17" s="50">
        <v>14</v>
      </c>
      <c r="B17" s="588">
        <v>0.24</v>
      </c>
      <c r="C17" s="588">
        <v>0.59</v>
      </c>
      <c r="D17" s="588">
        <v>0.252</v>
      </c>
      <c r="E17" s="588">
        <v>0.54200000000000004</v>
      </c>
      <c r="F17" s="588">
        <v>0.112</v>
      </c>
      <c r="G17" s="588">
        <v>0.76</v>
      </c>
      <c r="H17" s="588">
        <v>0.182</v>
      </c>
      <c r="I17" s="588">
        <v>0.67800000000000005</v>
      </c>
      <c r="J17" s="588">
        <v>0.112</v>
      </c>
      <c r="K17" s="588">
        <v>0.73399999999999999</v>
      </c>
      <c r="L17" s="147">
        <v>0.02</v>
      </c>
      <c r="M17" s="147">
        <v>0.01</v>
      </c>
      <c r="N17" s="588">
        <v>3.2000000000000001E-2</v>
      </c>
      <c r="O17" s="588">
        <v>0.48599999999999999</v>
      </c>
      <c r="P17" s="588">
        <v>1.2E-2</v>
      </c>
      <c r="Q17" s="588">
        <v>0.54</v>
      </c>
      <c r="R17" s="588">
        <v>2.4E-2</v>
      </c>
      <c r="S17" s="588">
        <v>0.57999999999999996</v>
      </c>
      <c r="T17" s="588">
        <v>9.4E-2</v>
      </c>
      <c r="U17" s="588">
        <v>0.44</v>
      </c>
      <c r="V17" s="588">
        <v>0.13</v>
      </c>
      <c r="W17" s="588">
        <v>0.47799999999999998</v>
      </c>
      <c r="X17" s="588">
        <v>0.54</v>
      </c>
      <c r="Y17" s="588">
        <v>3.4000000000000002E-2</v>
      </c>
      <c r="Z17" s="588">
        <v>0.152</v>
      </c>
      <c r="AA17" s="588">
        <v>3.2000000000000001E-2</v>
      </c>
      <c r="AB17" s="588">
        <v>0.104</v>
      </c>
      <c r="AC17" s="588">
        <v>2.4E-2</v>
      </c>
      <c r="AD17" s="588">
        <v>6.8000000000000005E-2</v>
      </c>
      <c r="AE17" s="588">
        <v>9.1999999999999998E-2</v>
      </c>
      <c r="AF17" s="94"/>
      <c r="AG17" s="147" t="s">
        <v>1426</v>
      </c>
      <c r="AH17" s="62"/>
      <c r="AI17" s="62"/>
      <c r="AJ17" s="14"/>
      <c r="AK17" s="62"/>
      <c r="AL17" s="14"/>
      <c r="AM17" s="14"/>
      <c r="AN17" s="14"/>
      <c r="AO17" s="14"/>
      <c r="AP17" s="14"/>
      <c r="AQ17" s="147" t="s">
        <v>1426</v>
      </c>
      <c r="AR17" s="62"/>
      <c r="AS17" s="62"/>
      <c r="AT17" s="14"/>
      <c r="AU17" s="62"/>
      <c r="AV17" s="14"/>
      <c r="AW17" s="14"/>
      <c r="AX17" s="14"/>
      <c r="AY17" s="14"/>
    </row>
    <row r="18" spans="1:51" x14ac:dyDescent="0.3">
      <c r="A18" s="50">
        <v>15</v>
      </c>
      <c r="B18" s="588">
        <v>0.22500000000000001</v>
      </c>
      <c r="C18" s="588">
        <v>0.6</v>
      </c>
      <c r="D18" s="588">
        <v>0.245</v>
      </c>
      <c r="E18" s="588">
        <v>0.55500000000000005</v>
      </c>
      <c r="F18" s="588">
        <v>0.105</v>
      </c>
      <c r="G18" s="588">
        <v>0.77500000000000002</v>
      </c>
      <c r="H18" s="588">
        <v>0.17499999999999999</v>
      </c>
      <c r="I18" s="588">
        <v>0.69</v>
      </c>
      <c r="J18" s="588">
        <v>0.105</v>
      </c>
      <c r="K18" s="588">
        <v>0.75</v>
      </c>
      <c r="L18" s="147">
        <v>0.03</v>
      </c>
      <c r="M18" s="147">
        <v>0.01</v>
      </c>
      <c r="N18" s="588">
        <v>0.03</v>
      </c>
      <c r="O18" s="588">
        <v>0.5</v>
      </c>
      <c r="P18" s="588">
        <v>0.01</v>
      </c>
      <c r="Q18" s="588">
        <v>0.55000000000000004</v>
      </c>
      <c r="R18" s="588">
        <v>0.02</v>
      </c>
      <c r="S18" s="588">
        <v>0.6</v>
      </c>
      <c r="T18" s="588">
        <v>0.09</v>
      </c>
      <c r="U18" s="588">
        <v>0.45</v>
      </c>
      <c r="V18" s="588">
        <v>0.14000000000000001</v>
      </c>
      <c r="W18" s="588">
        <v>0.47499999999999998</v>
      </c>
      <c r="X18" s="588">
        <v>0.55000000000000004</v>
      </c>
      <c r="Y18" s="588">
        <v>0.04</v>
      </c>
      <c r="Z18" s="588">
        <v>0.15</v>
      </c>
      <c r="AA18" s="588">
        <v>0.03</v>
      </c>
      <c r="AB18" s="588">
        <v>0.1</v>
      </c>
      <c r="AC18" s="588">
        <v>0.02</v>
      </c>
      <c r="AD18" s="588">
        <v>6.5000000000000002E-2</v>
      </c>
      <c r="AE18" s="588">
        <v>0.09</v>
      </c>
      <c r="AF18" s="94"/>
      <c r="AG18" s="147" t="s">
        <v>1420</v>
      </c>
      <c r="AH18" s="601" t="str">
        <f>IF('Lower Extremity-Right'!T94="","",'Lower Extremity-Right'!T94)</f>
        <v/>
      </c>
      <c r="AI18" s="585" t="str">
        <f>IF(AH18="","",ROUND(AH18,0))</f>
        <v/>
      </c>
      <c r="AJ18" s="194">
        <f>IF(AI18="",0,VLOOKUP(AI18,$A$3:$AE$154,8))</f>
        <v>0</v>
      </c>
      <c r="AK18" s="62"/>
      <c r="AL18" s="147" t="s">
        <v>1421</v>
      </c>
      <c r="AM18" s="585" t="str">
        <f>IF('Lower Extremity-Right'!V94="","",'Lower Extremity-Right'!V94)</f>
        <v/>
      </c>
      <c r="AN18" s="585" t="str">
        <f>IF(AM18="","",ROUND(AM18,0))</f>
        <v/>
      </c>
      <c r="AO18" s="194">
        <f>IF(AN18="",0,VLOOKUP(AN18,$A$3:$AE$154,8))</f>
        <v>0</v>
      </c>
      <c r="AP18" s="14"/>
      <c r="AQ18" s="147" t="s">
        <v>1420</v>
      </c>
      <c r="AR18" s="585" t="str">
        <f>IF('Lower Extremity-Left'!T94="","",'Lower Extremity-Left'!T94)</f>
        <v/>
      </c>
      <c r="AS18" s="585" t="str">
        <f>IF(AR18="","",ROUND(AR18,0))</f>
        <v/>
      </c>
      <c r="AT18" s="194">
        <f>IF(AS18="",0,VLOOKUP(AS18,$A$3:$AE$154,8))</f>
        <v>0</v>
      </c>
      <c r="AU18" s="62"/>
      <c r="AV18" s="147" t="s">
        <v>1421</v>
      </c>
      <c r="AW18" s="585" t="str">
        <f>IF('Lower Extremity-Left'!V94="","",'Lower Extremity-Left'!V94)</f>
        <v/>
      </c>
      <c r="AX18" s="585" t="str">
        <f>IF(AW18="","",ROUND(AW18,0))</f>
        <v/>
      </c>
      <c r="AY18" s="194">
        <f>IF(AX18="",0,VLOOKUP(AX18,$A$3:$AE$154,8))</f>
        <v>0</v>
      </c>
    </row>
    <row r="19" spans="1:51" x14ac:dyDescent="0.3">
      <c r="A19" s="50">
        <v>16</v>
      </c>
      <c r="B19" s="588">
        <v>0.21</v>
      </c>
      <c r="C19" s="588">
        <v>0.61</v>
      </c>
      <c r="D19" s="588">
        <v>0.23799999999999999</v>
      </c>
      <c r="E19" s="588">
        <v>0.56799999999999995</v>
      </c>
      <c r="F19" s="588">
        <v>9.8000000000000004E-2</v>
      </c>
      <c r="G19" s="588">
        <v>0.79</v>
      </c>
      <c r="H19" s="588">
        <v>0.16800000000000001</v>
      </c>
      <c r="I19" s="588">
        <v>0.70199999999999996</v>
      </c>
      <c r="J19" s="588">
        <v>9.8000000000000004E-2</v>
      </c>
      <c r="K19" s="588">
        <v>0.76600000000000001</v>
      </c>
      <c r="L19" s="147">
        <v>0.03</v>
      </c>
      <c r="M19" s="147">
        <v>0.01</v>
      </c>
      <c r="N19" s="588">
        <v>2.8000000000000001E-2</v>
      </c>
      <c r="O19" s="588">
        <v>0.51400000000000001</v>
      </c>
      <c r="P19" s="588">
        <v>8.0000000000000002E-3</v>
      </c>
      <c r="Q19" s="588">
        <v>0.56000000000000005</v>
      </c>
      <c r="R19" s="588">
        <v>1.6E-2</v>
      </c>
      <c r="S19" s="588">
        <v>0.62</v>
      </c>
      <c r="T19" s="588">
        <v>8.5999999999999993E-2</v>
      </c>
      <c r="U19" s="588">
        <v>0.46</v>
      </c>
      <c r="V19" s="588">
        <v>0.14000000000000001</v>
      </c>
      <c r="W19" s="588">
        <v>0.47199999999999998</v>
      </c>
      <c r="X19" s="588">
        <v>0.56000000000000005</v>
      </c>
      <c r="Y19" s="588">
        <v>4.5999999999999999E-2</v>
      </c>
      <c r="Z19" s="588">
        <v>0.14799999999999999</v>
      </c>
      <c r="AA19" s="588">
        <v>2.8000000000000001E-2</v>
      </c>
      <c r="AB19" s="588">
        <v>9.6000000000000002E-2</v>
      </c>
      <c r="AC19" s="588">
        <v>1.6E-2</v>
      </c>
      <c r="AD19" s="588">
        <v>6.2E-2</v>
      </c>
      <c r="AE19" s="588">
        <v>8.7999999999999995E-2</v>
      </c>
      <c r="AF19" s="94"/>
      <c r="AG19" s="147" t="s">
        <v>1422</v>
      </c>
      <c r="AH19" s="601" t="str">
        <f>IF('Lower Extremity-Right'!T95="","",'Lower Extremity-Right'!T95)</f>
        <v/>
      </c>
      <c r="AI19" s="585" t="str">
        <f>IF(AH19="","",ROUND(AH19,0))</f>
        <v/>
      </c>
      <c r="AJ19" s="194">
        <f>IF(AI19="",0,VLOOKUP(AI19,$A$3:$AE$154,9))</f>
        <v>0</v>
      </c>
      <c r="AK19" s="62"/>
      <c r="AL19" s="14"/>
      <c r="AM19" s="14"/>
      <c r="AN19" s="14"/>
      <c r="AO19" s="14"/>
      <c r="AP19" s="14"/>
      <c r="AQ19" s="147" t="s">
        <v>1422</v>
      </c>
      <c r="AR19" s="585" t="str">
        <f>IF('Lower Extremity-Left'!T95="","",'Lower Extremity-Left'!T95)</f>
        <v/>
      </c>
      <c r="AS19" s="585" t="str">
        <f>IF(AR19="","",ROUND(AR19,0))</f>
        <v/>
      </c>
      <c r="AT19" s="194">
        <f>IF(AS19="",0,VLOOKUP(AS19,$A$3:$AE$154,9))</f>
        <v>0</v>
      </c>
      <c r="AU19" s="62"/>
      <c r="AV19" s="14"/>
      <c r="AW19" s="14"/>
      <c r="AX19" s="14"/>
      <c r="AY19" s="14"/>
    </row>
    <row r="20" spans="1:51" x14ac:dyDescent="0.3">
      <c r="A20" s="50">
        <v>17</v>
      </c>
      <c r="B20" s="588">
        <v>0.19500000000000001</v>
      </c>
      <c r="C20" s="588">
        <v>0.62</v>
      </c>
      <c r="D20" s="588">
        <v>0.23100000000000001</v>
      </c>
      <c r="E20" s="588">
        <v>0.58099999999999996</v>
      </c>
      <c r="F20" s="588">
        <v>9.0999999999999998E-2</v>
      </c>
      <c r="G20" s="588">
        <v>0.80500000000000005</v>
      </c>
      <c r="H20" s="588">
        <v>0.161</v>
      </c>
      <c r="I20" s="588">
        <v>0.71399999999999997</v>
      </c>
      <c r="J20" s="588">
        <v>9.0999999999999998E-2</v>
      </c>
      <c r="K20" s="588">
        <v>0.78200000000000003</v>
      </c>
      <c r="L20" s="147">
        <v>0.03</v>
      </c>
      <c r="M20" s="147">
        <v>0.01</v>
      </c>
      <c r="N20" s="588">
        <v>2.5999999999999999E-2</v>
      </c>
      <c r="O20" s="588">
        <v>0.52800000000000002</v>
      </c>
      <c r="P20" s="588">
        <v>6.0000000000000001E-3</v>
      </c>
      <c r="Q20" s="588">
        <v>0.56999999999999995</v>
      </c>
      <c r="R20" s="588">
        <v>1.2E-2</v>
      </c>
      <c r="S20" s="588">
        <v>0.64</v>
      </c>
      <c r="T20" s="588">
        <v>8.2000000000000003E-2</v>
      </c>
      <c r="U20" s="588">
        <v>0.47</v>
      </c>
      <c r="V20" s="588">
        <v>0.15</v>
      </c>
      <c r="W20" s="588">
        <v>0.46899999999999997</v>
      </c>
      <c r="X20" s="588">
        <v>0.56999999999999995</v>
      </c>
      <c r="Y20" s="588">
        <v>5.1999999999999998E-2</v>
      </c>
      <c r="Z20" s="588">
        <v>0.14599999999999999</v>
      </c>
      <c r="AA20" s="588">
        <v>2.5999999999999999E-2</v>
      </c>
      <c r="AB20" s="588">
        <v>9.1999999999999998E-2</v>
      </c>
      <c r="AC20" s="588">
        <v>1.2E-2</v>
      </c>
      <c r="AD20" s="588">
        <v>5.8999999999999997E-2</v>
      </c>
      <c r="AE20" s="588">
        <v>8.5999999999999993E-2</v>
      </c>
      <c r="AF20" s="94"/>
      <c r="AG20" s="147" t="s">
        <v>1423</v>
      </c>
      <c r="AH20" s="601" t="str">
        <f>IF('Lower Extremity-Right'!T96="","",'Lower Extremity-Right'!T96)</f>
        <v/>
      </c>
      <c r="AI20" s="585" t="str">
        <f>IF(AH20="","",ROUND(AH20,0))</f>
        <v/>
      </c>
      <c r="AJ20" s="194">
        <f>IF(AI20="",0,VLOOKUP(AI20,$A$3:$AE$154,10))</f>
        <v>0</v>
      </c>
      <c r="AK20" s="62"/>
      <c r="AL20" s="147" t="s">
        <v>1421</v>
      </c>
      <c r="AM20" s="585" t="str">
        <f>IF('Lower Extremity-Right'!V96="","",'Lower Extremity-Right'!V96)</f>
        <v/>
      </c>
      <c r="AN20" s="585" t="str">
        <f>IF(AM20="","",ROUND(AM20,0))</f>
        <v/>
      </c>
      <c r="AO20" s="194">
        <f>IF(AN20="",0,VLOOKUP(AN20,$A$3:$AE$154,10))</f>
        <v>0</v>
      </c>
      <c r="AP20" s="14"/>
      <c r="AQ20" s="147" t="s">
        <v>1423</v>
      </c>
      <c r="AR20" s="585" t="str">
        <f>IF('Lower Extremity-Left'!T96="","",'Lower Extremity-Left'!T96)</f>
        <v/>
      </c>
      <c r="AS20" s="585" t="str">
        <f>IF(AR20="","",ROUND(AR20,0))</f>
        <v/>
      </c>
      <c r="AT20" s="194">
        <f>IF(AS20="",0,VLOOKUP(AS20,$A$3:$AE$154,10))</f>
        <v>0</v>
      </c>
      <c r="AU20" s="62"/>
      <c r="AV20" s="147" t="s">
        <v>1421</v>
      </c>
      <c r="AW20" s="585" t="str">
        <f>IF('Lower Extremity-Left'!V96="","",'Lower Extremity-Left'!V96)</f>
        <v/>
      </c>
      <c r="AX20" s="585" t="str">
        <f>IF(AW20="","",ROUND(AW20,0))</f>
        <v/>
      </c>
      <c r="AY20" s="194">
        <f>IF(AX20="",0,VLOOKUP(AX20,$A$3:$AE$154,10))</f>
        <v>0</v>
      </c>
    </row>
    <row r="21" spans="1:51" x14ac:dyDescent="0.3">
      <c r="A21" s="50">
        <v>18</v>
      </c>
      <c r="B21" s="588">
        <v>0.18</v>
      </c>
      <c r="C21" s="588">
        <v>0.63</v>
      </c>
      <c r="D21" s="588">
        <v>0.224</v>
      </c>
      <c r="E21" s="588">
        <v>0.59399999999999997</v>
      </c>
      <c r="F21" s="588">
        <v>8.4000000000000005E-2</v>
      </c>
      <c r="G21" s="588">
        <v>0.82</v>
      </c>
      <c r="H21" s="588">
        <v>0.154</v>
      </c>
      <c r="I21" s="588">
        <v>0.72599999999999998</v>
      </c>
      <c r="J21" s="588">
        <v>8.4000000000000005E-2</v>
      </c>
      <c r="K21" s="588">
        <v>0.79800000000000004</v>
      </c>
      <c r="L21" s="147">
        <v>0.03</v>
      </c>
      <c r="M21" s="147">
        <v>0.01</v>
      </c>
      <c r="N21" s="588">
        <v>2.4E-2</v>
      </c>
      <c r="O21" s="588">
        <v>0.54200000000000004</v>
      </c>
      <c r="P21" s="588">
        <v>4.0000000000000001E-3</v>
      </c>
      <c r="Q21" s="588">
        <v>0.57999999999999996</v>
      </c>
      <c r="R21" s="588">
        <v>8.0000000000000002E-3</v>
      </c>
      <c r="S21" s="588">
        <v>0.66</v>
      </c>
      <c r="T21" s="588">
        <v>7.8E-2</v>
      </c>
      <c r="U21" s="588">
        <v>0.48</v>
      </c>
      <c r="V21" s="588">
        <v>0.16</v>
      </c>
      <c r="W21" s="588">
        <v>0.46600000000000003</v>
      </c>
      <c r="X21" s="588">
        <v>0.57999999999999996</v>
      </c>
      <c r="Y21" s="588">
        <v>5.8000000000000003E-2</v>
      </c>
      <c r="Z21" s="588">
        <v>0.14399999999999999</v>
      </c>
      <c r="AA21" s="588">
        <v>2.4E-2</v>
      </c>
      <c r="AB21" s="588">
        <v>8.7999999999999995E-2</v>
      </c>
      <c r="AC21" s="588">
        <v>8.0000000000000002E-3</v>
      </c>
      <c r="AD21" s="588">
        <v>5.6000000000000001E-2</v>
      </c>
      <c r="AE21" s="588">
        <v>8.4000000000000005E-2</v>
      </c>
      <c r="AF21" s="94"/>
      <c r="AG21" s="147" t="s">
        <v>1424</v>
      </c>
      <c r="AH21" s="601" t="str">
        <f>IF('Lower Extremity-Right'!T97="","",'Lower Extremity-Right'!T97)</f>
        <v/>
      </c>
      <c r="AI21" s="585" t="str">
        <f>IF(AH21="","",ROUND(AH21,0))</f>
        <v/>
      </c>
      <c r="AJ21" s="194">
        <f>IF(AI21="",0,VLOOKUP(AI21,$A$3:$AE$154,11))</f>
        <v>0</v>
      </c>
      <c r="AK21" s="62"/>
      <c r="AL21" s="14"/>
      <c r="AM21" s="14"/>
      <c r="AN21" s="14"/>
      <c r="AO21" s="14"/>
      <c r="AP21" s="14"/>
      <c r="AQ21" s="147" t="s">
        <v>1424</v>
      </c>
      <c r="AR21" s="585" t="str">
        <f>IF('Lower Extremity-Left'!T97="","",'Lower Extremity-Left'!T97)</f>
        <v/>
      </c>
      <c r="AS21" s="585" t="str">
        <f>IF(AR21="","",ROUND(AR21,0))</f>
        <v/>
      </c>
      <c r="AT21" s="194">
        <f>IF(AS21="",0,VLOOKUP(AS21,$A$3:$AE$154,11))</f>
        <v>0</v>
      </c>
      <c r="AU21" s="62"/>
      <c r="AV21" s="14"/>
      <c r="AW21" s="14"/>
      <c r="AX21" s="14"/>
      <c r="AY21" s="14"/>
    </row>
    <row r="22" spans="1:51" x14ac:dyDescent="0.3">
      <c r="A22" s="50">
        <v>19</v>
      </c>
      <c r="B22" s="588">
        <v>0.16500000000000001</v>
      </c>
      <c r="C22" s="588">
        <v>0.64</v>
      </c>
      <c r="D22" s="588">
        <v>0.217</v>
      </c>
      <c r="E22" s="588">
        <v>0.60699999999999998</v>
      </c>
      <c r="F22" s="588">
        <v>7.6999999999999999E-2</v>
      </c>
      <c r="G22" s="588">
        <v>0.83499999999999996</v>
      </c>
      <c r="H22" s="588">
        <v>0.14699999999999999</v>
      </c>
      <c r="I22" s="588">
        <v>0.73799999999999999</v>
      </c>
      <c r="J22" s="588">
        <v>7.6999999999999999E-2</v>
      </c>
      <c r="K22" s="588">
        <v>0.81399999999999995</v>
      </c>
      <c r="L22" s="147">
        <v>0.03</v>
      </c>
      <c r="M22" s="147">
        <v>0.01</v>
      </c>
      <c r="N22" s="588">
        <v>2.1999999999999999E-2</v>
      </c>
      <c r="O22" s="588">
        <v>0.55600000000000005</v>
      </c>
      <c r="P22" s="588">
        <v>2E-3</v>
      </c>
      <c r="Q22" s="588">
        <v>0.59</v>
      </c>
      <c r="R22" s="588">
        <v>4.0000000000000001E-3</v>
      </c>
      <c r="S22" s="588">
        <v>0.68</v>
      </c>
      <c r="T22" s="588">
        <v>7.3999999999999996E-2</v>
      </c>
      <c r="U22" s="588">
        <v>0.49</v>
      </c>
      <c r="V22" s="588">
        <v>0.17</v>
      </c>
      <c r="W22" s="588">
        <v>0.46300000000000002</v>
      </c>
      <c r="X22" s="588">
        <v>0.59</v>
      </c>
      <c r="Y22" s="588">
        <v>6.4000000000000001E-2</v>
      </c>
      <c r="Z22" s="588">
        <v>0.14199999999999999</v>
      </c>
      <c r="AA22" s="588">
        <v>2.1999999999999999E-2</v>
      </c>
      <c r="AB22" s="588">
        <v>8.4000000000000005E-2</v>
      </c>
      <c r="AC22" s="588">
        <v>4.0000000000000001E-3</v>
      </c>
      <c r="AD22" s="588">
        <v>5.2999999999999999E-2</v>
      </c>
      <c r="AE22" s="588">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3">
      <c r="A23" s="50">
        <v>20</v>
      </c>
      <c r="B23" s="588">
        <v>0.15</v>
      </c>
      <c r="C23" s="588">
        <v>0.65</v>
      </c>
      <c r="D23" s="588">
        <v>0.21</v>
      </c>
      <c r="E23" s="588">
        <v>0.62</v>
      </c>
      <c r="F23" s="588">
        <v>7.0000000000000007E-2</v>
      </c>
      <c r="G23" s="588">
        <v>0.85</v>
      </c>
      <c r="H23" s="588">
        <v>0.14000000000000001</v>
      </c>
      <c r="I23" s="588">
        <v>0.75</v>
      </c>
      <c r="J23" s="588">
        <v>7.0000000000000007E-2</v>
      </c>
      <c r="K23" s="588">
        <v>0.83</v>
      </c>
      <c r="L23" s="147">
        <v>0.03</v>
      </c>
      <c r="M23" s="147">
        <v>0.01</v>
      </c>
      <c r="N23" s="588">
        <v>0.02</v>
      </c>
      <c r="O23" s="588">
        <v>0.56999999999999995</v>
      </c>
      <c r="P23" s="588">
        <v>0</v>
      </c>
      <c r="Q23" s="588">
        <v>0.6</v>
      </c>
      <c r="R23" s="588">
        <v>0</v>
      </c>
      <c r="S23" s="588">
        <v>0.7</v>
      </c>
      <c r="T23" s="588">
        <v>7.0000000000000007E-2</v>
      </c>
      <c r="U23" s="588">
        <v>0.5</v>
      </c>
      <c r="V23" s="588">
        <v>0.18</v>
      </c>
      <c r="W23" s="588">
        <v>0.46</v>
      </c>
      <c r="X23" s="588">
        <v>0.6</v>
      </c>
      <c r="Y23" s="588">
        <v>7.0000000000000007E-2</v>
      </c>
      <c r="Z23" s="588">
        <v>0.14000000000000001</v>
      </c>
      <c r="AA23" s="588">
        <v>0.02</v>
      </c>
      <c r="AB23" s="588">
        <v>0.08</v>
      </c>
      <c r="AC23" s="588">
        <v>0</v>
      </c>
      <c r="AD23" s="588">
        <v>0.05</v>
      </c>
      <c r="AE23" s="588">
        <v>0.08</v>
      </c>
      <c r="AF23" s="94"/>
      <c r="AG23" s="147" t="s">
        <v>1427</v>
      </c>
      <c r="AH23" s="62"/>
      <c r="AI23" s="62"/>
      <c r="AJ23" s="14"/>
      <c r="AK23" s="62"/>
      <c r="AL23" s="14"/>
      <c r="AM23" s="14"/>
      <c r="AN23" s="14"/>
      <c r="AO23" s="14"/>
      <c r="AP23" s="14"/>
      <c r="AQ23" s="147" t="s">
        <v>1427</v>
      </c>
      <c r="AR23" s="62"/>
      <c r="AS23" s="62"/>
      <c r="AT23" s="14"/>
      <c r="AU23" s="62"/>
      <c r="AV23" s="14"/>
      <c r="AW23" s="14"/>
      <c r="AX23" s="14"/>
      <c r="AY23" s="14"/>
    </row>
    <row r="24" spans="1:51" x14ac:dyDescent="0.3">
      <c r="A24" s="50">
        <v>21</v>
      </c>
      <c r="B24" s="588">
        <v>0.13500000000000001</v>
      </c>
      <c r="C24" s="588">
        <v>0.66</v>
      </c>
      <c r="D24" s="588">
        <v>0.20300000000000001</v>
      </c>
      <c r="E24" s="588">
        <v>0.63200000000000001</v>
      </c>
      <c r="F24" s="588">
        <v>6.3E-2</v>
      </c>
      <c r="G24" s="588">
        <v>0.86499999999999999</v>
      </c>
      <c r="H24" s="588">
        <v>0.13300000000000001</v>
      </c>
      <c r="I24" s="588">
        <v>0.76300000000000001</v>
      </c>
      <c r="J24" s="588">
        <v>6.3E-2</v>
      </c>
      <c r="K24" s="588">
        <v>0.84699999999999998</v>
      </c>
      <c r="L24" s="147">
        <v>0.03</v>
      </c>
      <c r="M24" s="147">
        <v>0.01</v>
      </c>
      <c r="N24" s="588">
        <v>1.7999999999999999E-2</v>
      </c>
      <c r="O24" s="588">
        <v>0.58299999999999996</v>
      </c>
      <c r="P24" s="553"/>
      <c r="Q24" s="147"/>
      <c r="R24" s="520"/>
      <c r="S24" s="147"/>
      <c r="T24" s="588">
        <v>6.7000000000000004E-2</v>
      </c>
      <c r="U24" s="588">
        <v>0.51</v>
      </c>
      <c r="V24" s="588">
        <v>0.19</v>
      </c>
      <c r="W24" s="588">
        <v>0.45600000000000002</v>
      </c>
      <c r="X24" s="588">
        <v>0.61</v>
      </c>
      <c r="Y24" s="588">
        <v>0.08</v>
      </c>
      <c r="Z24" s="588">
        <v>0.13800000000000001</v>
      </c>
      <c r="AA24" s="588">
        <v>1.7999999999999999E-2</v>
      </c>
      <c r="AB24" s="588">
        <v>7.5999999999999998E-2</v>
      </c>
      <c r="AC24" s="588"/>
      <c r="AD24" s="588">
        <v>4.8000000000000001E-2</v>
      </c>
      <c r="AE24" s="588">
        <v>7.6999999999999999E-2</v>
      </c>
      <c r="AF24" s="94"/>
      <c r="AG24" s="147" t="s">
        <v>1420</v>
      </c>
      <c r="AH24" s="601" t="str">
        <f>IF('Lower Extremity-Right'!T134="","",'Lower Extremity-Right'!T134)</f>
        <v/>
      </c>
      <c r="AI24" s="585" t="str">
        <f>IF(AH24="","",ROUND(AH24,0))</f>
        <v/>
      </c>
      <c r="AJ24" s="194">
        <f>IF(AI24="",0,VLOOKUP(AI24,$A$3:$AE$154,8))</f>
        <v>0</v>
      </c>
      <c r="AK24" s="62"/>
      <c r="AL24" s="147" t="s">
        <v>1421</v>
      </c>
      <c r="AM24" s="585" t="str">
        <f>IF('Lower Extremity-Right'!V134="","",'Lower Extremity-Right'!V134)</f>
        <v/>
      </c>
      <c r="AN24" s="585" t="str">
        <f>IF(AM24="","",ROUND(AM24,0))</f>
        <v/>
      </c>
      <c r="AO24" s="194">
        <f>IF(AN24="",0,VLOOKUP(AN24,$A$3:$AE$154,8))</f>
        <v>0</v>
      </c>
      <c r="AP24" s="14"/>
      <c r="AQ24" s="147" t="s">
        <v>1420</v>
      </c>
      <c r="AR24" s="585" t="str">
        <f>IF('Lower Extremity-Left'!T134="","",'Lower Extremity-Left'!T134)</f>
        <v/>
      </c>
      <c r="AS24" s="585" t="str">
        <f>IF(AR24="","",ROUND(AR24,0))</f>
        <v/>
      </c>
      <c r="AT24" s="194">
        <f>IF(AS24="",0,VLOOKUP(AS24,$A$3:$AE$154,8))</f>
        <v>0</v>
      </c>
      <c r="AU24" s="62"/>
      <c r="AV24" s="147" t="s">
        <v>1421</v>
      </c>
      <c r="AW24" s="585" t="str">
        <f>IF('Lower Extremity-Left'!V134="","",'Lower Extremity-Left'!V134)</f>
        <v/>
      </c>
      <c r="AX24" s="585" t="str">
        <f>IF(AW24="","",ROUND(AW24,0))</f>
        <v/>
      </c>
      <c r="AY24" s="194">
        <f>IF(AX24="",0,VLOOKUP(AX24,$A$3:$AE$154,8))</f>
        <v>0</v>
      </c>
    </row>
    <row r="25" spans="1:51" x14ac:dyDescent="0.3">
      <c r="A25" s="50">
        <v>22</v>
      </c>
      <c r="B25" s="588">
        <v>0.12</v>
      </c>
      <c r="C25" s="588">
        <v>0.67</v>
      </c>
      <c r="D25" s="588">
        <v>0.19600000000000001</v>
      </c>
      <c r="E25" s="588">
        <v>0.64400000000000002</v>
      </c>
      <c r="F25" s="588">
        <v>5.6000000000000001E-2</v>
      </c>
      <c r="G25" s="588">
        <v>0.88</v>
      </c>
      <c r="H25" s="588">
        <v>0.126</v>
      </c>
      <c r="I25" s="588">
        <v>0.77600000000000002</v>
      </c>
      <c r="J25" s="588">
        <v>5.6000000000000001E-2</v>
      </c>
      <c r="K25" s="588">
        <v>0.86399999999999999</v>
      </c>
      <c r="L25" s="147">
        <v>0.04</v>
      </c>
      <c r="M25" s="147">
        <v>0.01</v>
      </c>
      <c r="N25" s="588">
        <v>1.6E-2</v>
      </c>
      <c r="O25" s="588">
        <v>0.59599999999999997</v>
      </c>
      <c r="P25" s="553"/>
      <c r="Q25" s="147"/>
      <c r="R25" s="520"/>
      <c r="S25" s="147"/>
      <c r="T25" s="588">
        <v>6.4000000000000001E-2</v>
      </c>
      <c r="U25" s="588">
        <v>0.52</v>
      </c>
      <c r="V25" s="588">
        <v>0.2</v>
      </c>
      <c r="W25" s="588">
        <v>0.45200000000000001</v>
      </c>
      <c r="X25" s="588">
        <v>0.62</v>
      </c>
      <c r="Y25" s="588">
        <v>0.09</v>
      </c>
      <c r="Z25" s="588">
        <v>0.13600000000000001</v>
      </c>
      <c r="AA25" s="588">
        <v>1.6E-2</v>
      </c>
      <c r="AB25" s="588">
        <v>7.1999999999999995E-2</v>
      </c>
      <c r="AC25" s="588"/>
      <c r="AD25" s="588">
        <v>4.5999999999999999E-2</v>
      </c>
      <c r="AE25" s="588">
        <v>7.3999999999999996E-2</v>
      </c>
      <c r="AF25" s="94"/>
      <c r="AG25" s="147" t="s">
        <v>1422</v>
      </c>
      <c r="AH25" s="601" t="str">
        <f>IF('Lower Extremity-Right'!T135="","",'Lower Extremity-Right'!T135)</f>
        <v/>
      </c>
      <c r="AI25" s="585" t="str">
        <f>IF(AH25="","",ROUND(AH25,0))</f>
        <v/>
      </c>
      <c r="AJ25" s="194">
        <f>IF(AI25="",0,VLOOKUP(AI25,$A$3:$AE$154,9))</f>
        <v>0</v>
      </c>
      <c r="AK25" s="62"/>
      <c r="AL25" s="14"/>
      <c r="AM25" s="14"/>
      <c r="AN25" s="14"/>
      <c r="AO25" s="14"/>
      <c r="AP25" s="14"/>
      <c r="AQ25" s="147" t="s">
        <v>1422</v>
      </c>
      <c r="AR25" s="585" t="str">
        <f>IF('Lower Extremity-Left'!T135="","",'Lower Extremity-Left'!T135)</f>
        <v/>
      </c>
      <c r="AS25" s="585" t="str">
        <f>IF(AR25="","",ROUND(AR25,0))</f>
        <v/>
      </c>
      <c r="AT25" s="194">
        <f>IF(AS25="",0,VLOOKUP(AS25,$A$3:$AE$154,9))</f>
        <v>0</v>
      </c>
      <c r="AU25" s="62"/>
      <c r="AV25" s="14"/>
      <c r="AW25" s="14"/>
      <c r="AX25" s="14"/>
      <c r="AY25" s="14"/>
    </row>
    <row r="26" spans="1:51" x14ac:dyDescent="0.3">
      <c r="A26" s="50">
        <v>23</v>
      </c>
      <c r="B26" s="588">
        <v>0.105</v>
      </c>
      <c r="C26" s="588">
        <v>0.68</v>
      </c>
      <c r="D26" s="588">
        <v>0.189</v>
      </c>
      <c r="E26" s="588">
        <v>0.65600000000000003</v>
      </c>
      <c r="F26" s="588">
        <v>4.9000000000000002E-2</v>
      </c>
      <c r="G26" s="588">
        <v>0.89500000000000002</v>
      </c>
      <c r="H26" s="588">
        <v>0.11899999999999999</v>
      </c>
      <c r="I26" s="588">
        <v>0.78900000000000003</v>
      </c>
      <c r="J26" s="588">
        <v>4.9000000000000002E-2</v>
      </c>
      <c r="K26" s="588">
        <v>0.88100000000000001</v>
      </c>
      <c r="L26" s="147">
        <v>0.04</v>
      </c>
      <c r="M26" s="147">
        <v>0.01</v>
      </c>
      <c r="N26" s="588">
        <v>1.4E-2</v>
      </c>
      <c r="O26" s="688">
        <v>0.60899999999999999</v>
      </c>
      <c r="P26" s="553"/>
      <c r="Q26" s="147"/>
      <c r="R26" s="520"/>
      <c r="S26" s="147"/>
      <c r="T26" s="588">
        <v>6.0999999999999999E-2</v>
      </c>
      <c r="U26" s="588">
        <v>0.53</v>
      </c>
      <c r="V26" s="588">
        <v>0.21</v>
      </c>
      <c r="W26" s="588">
        <v>0.44800000000000001</v>
      </c>
      <c r="X26" s="588">
        <v>0.63</v>
      </c>
      <c r="Y26" s="588">
        <v>0.1</v>
      </c>
      <c r="Z26" s="588">
        <v>0.13400000000000001</v>
      </c>
      <c r="AA26" s="588">
        <v>1.4E-2</v>
      </c>
      <c r="AB26" s="588">
        <v>6.8000000000000005E-2</v>
      </c>
      <c r="AC26" s="588"/>
      <c r="AD26" s="588">
        <v>4.3999999999999997E-2</v>
      </c>
      <c r="AE26" s="588">
        <v>7.0999999999999994E-2</v>
      </c>
      <c r="AF26" s="94"/>
      <c r="AG26" s="147" t="s">
        <v>1423</v>
      </c>
      <c r="AH26" s="601" t="str">
        <f>IF('Lower Extremity-Right'!T136="","",'Lower Extremity-Right'!T136)</f>
        <v/>
      </c>
      <c r="AI26" s="585" t="str">
        <f>IF(AH26="","",ROUND(AH26,0))</f>
        <v/>
      </c>
      <c r="AJ26" s="194">
        <f>IF(AI26="",0,VLOOKUP(AI26,$A$3:$AE$154,10))</f>
        <v>0</v>
      </c>
      <c r="AK26" s="62"/>
      <c r="AL26" s="147" t="s">
        <v>1421</v>
      </c>
      <c r="AM26" s="585" t="str">
        <f>IF('Lower Extremity-Right'!V136="","",'Lower Extremity-Right'!V136)</f>
        <v/>
      </c>
      <c r="AN26" s="585" t="str">
        <f>IF(AM26="","",ROUND(AM26,0))</f>
        <v/>
      </c>
      <c r="AO26" s="194">
        <f>IF(AN26="",0,VLOOKUP(AN26,$A$3:$AE$154,10))</f>
        <v>0</v>
      </c>
      <c r="AP26" s="14"/>
      <c r="AQ26" s="147" t="s">
        <v>1423</v>
      </c>
      <c r="AR26" s="585" t="str">
        <f>IF('Lower Extremity-Left'!T136="","",'Lower Extremity-Left'!T136)</f>
        <v/>
      </c>
      <c r="AS26" s="585" t="str">
        <f>IF(AR26="","",ROUND(AR26,0))</f>
        <v/>
      </c>
      <c r="AT26" s="194">
        <f>IF(AS26="",0,VLOOKUP(AS26,$A$3:$AE$154,10))</f>
        <v>0</v>
      </c>
      <c r="AU26" s="62"/>
      <c r="AV26" s="147" t="s">
        <v>1421</v>
      </c>
      <c r="AW26" s="585" t="str">
        <f>IF('Lower Extremity-Left'!V136="","",'Lower Extremity-Left'!V136)</f>
        <v/>
      </c>
      <c r="AX26" s="585" t="str">
        <f>IF(AW26="","",ROUND(AW26,0))</f>
        <v/>
      </c>
      <c r="AY26" s="194">
        <f>IF(AX26="",0,VLOOKUP(AX26,$A$3:$AE$154,10))</f>
        <v>0</v>
      </c>
    </row>
    <row r="27" spans="1:51" x14ac:dyDescent="0.3">
      <c r="A27" s="50">
        <v>24</v>
      </c>
      <c r="B27" s="588">
        <v>0.09</v>
      </c>
      <c r="C27" s="588">
        <v>0.69</v>
      </c>
      <c r="D27" s="588">
        <v>0.182</v>
      </c>
      <c r="E27" s="588">
        <v>0.66800000000000004</v>
      </c>
      <c r="F27" s="588">
        <v>4.2000000000000003E-2</v>
      </c>
      <c r="G27" s="588">
        <v>0.91</v>
      </c>
      <c r="H27" s="588">
        <v>0.112</v>
      </c>
      <c r="I27" s="588">
        <v>0.80200000000000005</v>
      </c>
      <c r="J27" s="588">
        <v>4.2000000000000003E-2</v>
      </c>
      <c r="K27" s="588">
        <v>0.89800000000000002</v>
      </c>
      <c r="L27" s="147">
        <v>0.04</v>
      </c>
      <c r="M27" s="147">
        <v>0.01</v>
      </c>
      <c r="N27" s="588">
        <v>1.2E-2</v>
      </c>
      <c r="O27" s="588">
        <v>0.622</v>
      </c>
      <c r="P27" s="553"/>
      <c r="Q27" s="147"/>
      <c r="R27" s="520"/>
      <c r="S27" s="147"/>
      <c r="T27" s="588">
        <v>5.8000000000000003E-2</v>
      </c>
      <c r="U27" s="588">
        <v>0.54</v>
      </c>
      <c r="V27" s="588">
        <v>0.22</v>
      </c>
      <c r="W27" s="588">
        <v>0.44400000000000001</v>
      </c>
      <c r="X27" s="588">
        <v>0.64</v>
      </c>
      <c r="Y27" s="588">
        <v>0.11</v>
      </c>
      <c r="Z27" s="588">
        <v>0.13200000000000001</v>
      </c>
      <c r="AA27" s="588">
        <v>1.2E-2</v>
      </c>
      <c r="AB27" s="588">
        <v>6.4000000000000001E-2</v>
      </c>
      <c r="AC27" s="588"/>
      <c r="AD27" s="588">
        <v>4.2000000000000003E-2</v>
      </c>
      <c r="AE27" s="588">
        <v>6.8000000000000005E-2</v>
      </c>
      <c r="AF27" s="94"/>
      <c r="AG27" s="147" t="s">
        <v>1424</v>
      </c>
      <c r="AH27" s="601" t="str">
        <f>IF('Lower Extremity-Right'!T137="","",'Lower Extremity-Right'!T137)</f>
        <v/>
      </c>
      <c r="AI27" s="585" t="str">
        <f>IF(AH27="","",ROUND(AH27,0))</f>
        <v/>
      </c>
      <c r="AJ27" s="194">
        <f>IF(AI27="",0,VLOOKUP(AI27,$A$3:$AE$154,11))</f>
        <v>0</v>
      </c>
      <c r="AK27" s="62"/>
      <c r="AL27" s="14"/>
      <c r="AM27" s="14"/>
      <c r="AN27" s="14"/>
      <c r="AO27" s="14"/>
      <c r="AP27" s="14"/>
      <c r="AQ27" s="147" t="s">
        <v>1424</v>
      </c>
      <c r="AR27" s="585" t="str">
        <f>IF('Lower Extremity-Left'!T137="","",'Lower Extremity-Left'!T137)</f>
        <v/>
      </c>
      <c r="AS27" s="585" t="str">
        <f>IF(AR27="","",ROUND(AR27,0))</f>
        <v/>
      </c>
      <c r="AT27" s="194">
        <f>IF(AS27="",0,VLOOKUP(AS27,$A$3:$AE$154,11))</f>
        <v>0</v>
      </c>
      <c r="AU27" s="62"/>
      <c r="AV27" s="14"/>
      <c r="AW27" s="14"/>
      <c r="AX27" s="14"/>
      <c r="AY27" s="14"/>
    </row>
    <row r="28" spans="1:51" x14ac:dyDescent="0.3">
      <c r="A28" s="50">
        <v>25</v>
      </c>
      <c r="B28" s="588">
        <v>7.4999999999999997E-2</v>
      </c>
      <c r="C28" s="588">
        <v>0.7</v>
      </c>
      <c r="D28" s="588">
        <v>0.17499999999999999</v>
      </c>
      <c r="E28" s="588">
        <v>0.67</v>
      </c>
      <c r="F28" s="588">
        <v>3.5000000000000003E-2</v>
      </c>
      <c r="G28" s="588">
        <v>0.92500000000000004</v>
      </c>
      <c r="H28" s="588">
        <v>0.105</v>
      </c>
      <c r="I28" s="588">
        <v>0.81499999999999995</v>
      </c>
      <c r="J28" s="588">
        <v>3.5000000000000003E-2</v>
      </c>
      <c r="K28" s="588">
        <v>0.91500000000000004</v>
      </c>
      <c r="L28" s="147">
        <v>0.04</v>
      </c>
      <c r="M28" s="147">
        <v>0.01</v>
      </c>
      <c r="N28" s="588">
        <v>0.01</v>
      </c>
      <c r="O28" s="588">
        <v>0.63500000000000001</v>
      </c>
      <c r="P28" s="553"/>
      <c r="Q28" s="147"/>
      <c r="R28" s="520"/>
      <c r="S28" s="147"/>
      <c r="T28" s="588">
        <v>5.5E-2</v>
      </c>
      <c r="U28" s="588">
        <v>0.55000000000000004</v>
      </c>
      <c r="V28" s="588">
        <v>0.23</v>
      </c>
      <c r="W28" s="588">
        <v>0.44</v>
      </c>
      <c r="X28" s="588">
        <v>0.65</v>
      </c>
      <c r="Y28" s="588">
        <v>0.12</v>
      </c>
      <c r="Z28" s="688">
        <v>0.13</v>
      </c>
      <c r="AA28" s="588">
        <v>0.01</v>
      </c>
      <c r="AB28" s="588">
        <v>0.06</v>
      </c>
      <c r="AC28" s="588"/>
      <c r="AD28" s="588">
        <v>0.04</v>
      </c>
      <c r="AE28" s="588">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3">
      <c r="A29" s="50">
        <v>26</v>
      </c>
      <c r="B29" s="588">
        <v>0.06</v>
      </c>
      <c r="C29" s="588">
        <v>0.71</v>
      </c>
      <c r="D29" s="588">
        <v>0.16800000000000001</v>
      </c>
      <c r="E29" s="588">
        <v>0.69199999999999995</v>
      </c>
      <c r="F29" s="588">
        <v>2.8000000000000001E-2</v>
      </c>
      <c r="G29" s="588">
        <v>0.94</v>
      </c>
      <c r="H29" s="588">
        <v>9.8000000000000004E-2</v>
      </c>
      <c r="I29" s="588">
        <v>0.82799999999999996</v>
      </c>
      <c r="J29" s="588">
        <v>2.8000000000000001E-2</v>
      </c>
      <c r="K29" s="588">
        <v>0.93200000000000005</v>
      </c>
      <c r="L29" s="147">
        <v>0.04</v>
      </c>
      <c r="M29" s="147">
        <v>0.01</v>
      </c>
      <c r="N29" s="588">
        <v>8.0000000000000002E-3</v>
      </c>
      <c r="O29" s="588">
        <v>0.64800000000000002</v>
      </c>
      <c r="P29" s="553"/>
      <c r="Q29" s="147"/>
      <c r="R29" s="520"/>
      <c r="S29" s="147"/>
      <c r="T29" s="588">
        <v>5.1999999999999998E-2</v>
      </c>
      <c r="U29" s="588">
        <v>0.56000000000000005</v>
      </c>
      <c r="V29" s="588">
        <v>0.23</v>
      </c>
      <c r="W29" s="588">
        <v>0.436</v>
      </c>
      <c r="X29" s="588">
        <v>0.66</v>
      </c>
      <c r="Y29" s="588">
        <v>0.13</v>
      </c>
      <c r="Z29" s="588">
        <v>0.128</v>
      </c>
      <c r="AA29" s="588">
        <v>8.0000000000000002E-3</v>
      </c>
      <c r="AB29" s="588">
        <v>5.6000000000000001E-2</v>
      </c>
      <c r="AC29" s="588"/>
      <c r="AD29" s="588">
        <v>3.7999999999999999E-2</v>
      </c>
      <c r="AE29" s="588">
        <v>6.2E-2</v>
      </c>
      <c r="AF29" s="94"/>
      <c r="AG29" s="147" t="s">
        <v>1428</v>
      </c>
      <c r="AH29" s="62"/>
      <c r="AI29" s="62"/>
      <c r="AJ29" s="14"/>
      <c r="AK29" s="62"/>
      <c r="AL29" s="14"/>
      <c r="AM29" s="14"/>
      <c r="AN29" s="14"/>
      <c r="AO29" s="14"/>
      <c r="AP29" s="14"/>
      <c r="AQ29" s="147" t="s">
        <v>1428</v>
      </c>
      <c r="AR29" s="62"/>
      <c r="AS29" s="62"/>
      <c r="AT29" s="14"/>
      <c r="AU29" s="62"/>
      <c r="AV29" s="14"/>
      <c r="AW29" s="14"/>
      <c r="AX29" s="14"/>
      <c r="AY29" s="14"/>
    </row>
    <row r="30" spans="1:51" x14ac:dyDescent="0.3">
      <c r="A30" s="50">
        <v>27</v>
      </c>
      <c r="B30" s="588">
        <v>4.4999999999999998E-2</v>
      </c>
      <c r="C30" s="588">
        <v>0.72</v>
      </c>
      <c r="D30" s="588">
        <v>0.161</v>
      </c>
      <c r="E30" s="588">
        <v>0.70399999999999996</v>
      </c>
      <c r="F30" s="588">
        <v>2.1000000000000001E-2</v>
      </c>
      <c r="G30" s="588">
        <v>0.95499999999999996</v>
      </c>
      <c r="H30" s="588">
        <v>9.0999999999999998E-2</v>
      </c>
      <c r="I30" s="588">
        <v>0.84099999999999997</v>
      </c>
      <c r="J30" s="588">
        <v>2.1000000000000001E-2</v>
      </c>
      <c r="K30" s="588">
        <v>0.94899999999999995</v>
      </c>
      <c r="L30" s="147">
        <v>0.04</v>
      </c>
      <c r="M30" s="147">
        <v>0.01</v>
      </c>
      <c r="N30" s="588">
        <v>6.0000000000000001E-3</v>
      </c>
      <c r="O30" s="588">
        <v>0.66100000000000003</v>
      </c>
      <c r="P30" s="553"/>
      <c r="Q30" s="147"/>
      <c r="R30" s="520"/>
      <c r="S30" s="147"/>
      <c r="T30" s="588">
        <v>4.9000000000000002E-2</v>
      </c>
      <c r="U30" s="588">
        <v>0.56999999999999995</v>
      </c>
      <c r="V30" s="588">
        <v>0.24</v>
      </c>
      <c r="W30" s="588">
        <v>0.432</v>
      </c>
      <c r="X30" s="588">
        <v>0.67</v>
      </c>
      <c r="Y30" s="588">
        <v>0.14000000000000001</v>
      </c>
      <c r="Z30" s="588">
        <v>0.126</v>
      </c>
      <c r="AA30" s="588">
        <v>6.0000000000000001E-3</v>
      </c>
      <c r="AB30" s="588">
        <v>5.1999999999999998E-2</v>
      </c>
      <c r="AC30" s="588"/>
      <c r="AD30" s="588">
        <v>3.5999999999999997E-2</v>
      </c>
      <c r="AE30" s="588">
        <v>5.8999999999999997E-2</v>
      </c>
      <c r="AF30" s="94"/>
      <c r="AG30" s="147" t="s">
        <v>1420</v>
      </c>
      <c r="AH30" s="601" t="str">
        <f>IF('Lower Extremity-Right'!T174="","",'Lower Extremity-Right'!T174)</f>
        <v/>
      </c>
      <c r="AI30" s="585" t="str">
        <f>IF(AH30="","",ROUND(AH30,0))</f>
        <v/>
      </c>
      <c r="AJ30" s="194">
        <f>IF(AI30="",0,VLOOKUP(AI30,$A$3:$AE$154,8))</f>
        <v>0</v>
      </c>
      <c r="AK30" s="62"/>
      <c r="AL30" s="147" t="s">
        <v>1421</v>
      </c>
      <c r="AM30" s="585" t="str">
        <f>IF('Lower Extremity-Right'!V174="","",'Lower Extremity-Right'!V174)</f>
        <v/>
      </c>
      <c r="AN30" s="585" t="str">
        <f>IF(AM30="","",ROUND(AM30,0))</f>
        <v/>
      </c>
      <c r="AO30" s="194">
        <f>IF(AN30="",0,VLOOKUP(AN30,$A$3:$AE$154,8))</f>
        <v>0</v>
      </c>
      <c r="AP30" s="14"/>
      <c r="AQ30" s="683" t="s">
        <v>1420</v>
      </c>
      <c r="AR30" s="585" t="str">
        <f>IF('Lower Extremity-Left'!T174="","",'Lower Extremity-Left'!T174)</f>
        <v/>
      </c>
      <c r="AS30" s="585" t="str">
        <f>IF(AR30="","",ROUND(AR30,0))</f>
        <v/>
      </c>
      <c r="AT30" s="194">
        <f>IF(AS30="",0,VLOOKUP(AS30,$A$3:$AE$154,8))</f>
        <v>0</v>
      </c>
      <c r="AU30" s="62"/>
      <c r="AV30" s="147" t="s">
        <v>1421</v>
      </c>
      <c r="AW30" s="585" t="str">
        <f>IF('Lower Extremity-Left'!V174="","",'Lower Extremity-Left'!V174)</f>
        <v/>
      </c>
      <c r="AX30" s="585" t="str">
        <f>IF(AW30="","",ROUND(AW30,0))</f>
        <v/>
      </c>
      <c r="AY30" s="194">
        <f>IF(AX30="",0,VLOOKUP(AX30,$A$3:$AE$154,8))</f>
        <v>0</v>
      </c>
    </row>
    <row r="31" spans="1:51" x14ac:dyDescent="0.3">
      <c r="A31" s="50">
        <v>28</v>
      </c>
      <c r="B31" s="588">
        <v>0.03</v>
      </c>
      <c r="C31" s="588">
        <v>0.73</v>
      </c>
      <c r="D31" s="588">
        <v>0.154</v>
      </c>
      <c r="E31" s="588">
        <v>0.71599999999999997</v>
      </c>
      <c r="F31" s="588">
        <v>1.4E-2</v>
      </c>
      <c r="G31" s="588">
        <v>0.97</v>
      </c>
      <c r="H31" s="588">
        <v>8.4000000000000005E-2</v>
      </c>
      <c r="I31" s="588">
        <v>0.85399999999999998</v>
      </c>
      <c r="J31" s="588">
        <v>1.4E-2</v>
      </c>
      <c r="K31" s="588">
        <v>0.96599999999999997</v>
      </c>
      <c r="L31" s="147">
        <v>0.04</v>
      </c>
      <c r="M31" s="147">
        <v>0.01</v>
      </c>
      <c r="N31" s="588">
        <v>4.0000000000000001E-3</v>
      </c>
      <c r="O31" s="588">
        <v>0.67400000000000004</v>
      </c>
      <c r="P31" s="553"/>
      <c r="Q31" s="147"/>
      <c r="R31" s="520"/>
      <c r="S31" s="147"/>
      <c r="T31" s="588">
        <v>4.5999999999999999E-2</v>
      </c>
      <c r="U31" s="588">
        <v>0.57999999999999996</v>
      </c>
      <c r="V31" s="588">
        <v>0.25</v>
      </c>
      <c r="W31" s="588">
        <v>0.42799999999999999</v>
      </c>
      <c r="X31" s="588">
        <v>0.68</v>
      </c>
      <c r="Y31" s="588">
        <v>0.15</v>
      </c>
      <c r="Z31" s="588">
        <v>0.124</v>
      </c>
      <c r="AA31" s="588">
        <v>4.0000000000000001E-3</v>
      </c>
      <c r="AB31" s="588">
        <v>4.8000000000000001E-2</v>
      </c>
      <c r="AC31" s="588"/>
      <c r="AD31" s="588">
        <v>3.4000000000000002E-2</v>
      </c>
      <c r="AE31" s="588">
        <v>5.6000000000000001E-2</v>
      </c>
      <c r="AF31" s="94"/>
      <c r="AG31" s="147" t="s">
        <v>1422</v>
      </c>
      <c r="AH31" s="601" t="str">
        <f>IF('Lower Extremity-Right'!T175="","",'Lower Extremity-Right'!T175)</f>
        <v/>
      </c>
      <c r="AI31" s="585" t="str">
        <f>IF(AH31="","",ROUND(AH31,0))</f>
        <v/>
      </c>
      <c r="AJ31" s="194">
        <f>IF(AI31="",0,VLOOKUP(AI31,$A$3:$AE$154,9))</f>
        <v>0</v>
      </c>
      <c r="AK31" s="62"/>
      <c r="AL31" s="14"/>
      <c r="AM31" s="14"/>
      <c r="AN31" s="14"/>
      <c r="AO31" s="14"/>
      <c r="AP31" s="14"/>
      <c r="AQ31" s="683" t="s">
        <v>1422</v>
      </c>
      <c r="AR31" s="585" t="str">
        <f>IF('Lower Extremity-Left'!T175="","",'Lower Extremity-Left'!T175)</f>
        <v/>
      </c>
      <c r="AS31" s="585" t="str">
        <f>IF(AR31="","",ROUND(AR31,0))</f>
        <v/>
      </c>
      <c r="AT31" s="194">
        <f>IF(AS31="",0,VLOOKUP(AS31,$A$3:$AE$154,9))</f>
        <v>0</v>
      </c>
      <c r="AU31" s="62"/>
      <c r="AV31" s="14"/>
      <c r="AW31" s="14"/>
      <c r="AX31" s="14"/>
      <c r="AY31" s="14"/>
    </row>
    <row r="32" spans="1:51" x14ac:dyDescent="0.3">
      <c r="A32" s="50">
        <v>29</v>
      </c>
      <c r="B32" s="588">
        <v>1.4999999999999999E-2</v>
      </c>
      <c r="C32" s="588">
        <v>0.74</v>
      </c>
      <c r="D32" s="588">
        <v>0.14699999999999999</v>
      </c>
      <c r="E32" s="588">
        <v>0.72799999999999998</v>
      </c>
      <c r="F32" s="588">
        <v>7.0000000000000001E-3</v>
      </c>
      <c r="G32" s="588">
        <v>0.98499999999999999</v>
      </c>
      <c r="H32" s="588">
        <v>7.6999999999999999E-2</v>
      </c>
      <c r="I32" s="588">
        <v>0.86699999999999999</v>
      </c>
      <c r="J32" s="588">
        <v>7.0000000000000001E-3</v>
      </c>
      <c r="K32" s="588">
        <v>0.98299999999999998</v>
      </c>
      <c r="L32" s="147">
        <v>0.05</v>
      </c>
      <c r="M32" s="147">
        <v>0.01</v>
      </c>
      <c r="N32" s="588">
        <v>2E-3</v>
      </c>
      <c r="O32" s="588">
        <v>0.68700000000000006</v>
      </c>
      <c r="P32" s="553"/>
      <c r="Q32" s="147"/>
      <c r="R32" s="520"/>
      <c r="S32" s="147"/>
      <c r="T32" s="588">
        <v>4.2999999999999997E-2</v>
      </c>
      <c r="U32" s="588">
        <v>0.59</v>
      </c>
      <c r="V32" s="588">
        <v>0.26</v>
      </c>
      <c r="W32" s="588">
        <v>0.42399999999999999</v>
      </c>
      <c r="X32" s="588">
        <v>0.69</v>
      </c>
      <c r="Y32" s="588">
        <v>0.16</v>
      </c>
      <c r="Z32" s="588">
        <v>0.122</v>
      </c>
      <c r="AA32" s="588">
        <v>2E-3</v>
      </c>
      <c r="AB32" s="588">
        <v>4.3999999999999997E-2</v>
      </c>
      <c r="AC32" s="588"/>
      <c r="AD32" s="588">
        <v>3.2000000000000001E-2</v>
      </c>
      <c r="AE32" s="588">
        <v>5.2999999999999999E-2</v>
      </c>
      <c r="AF32" s="94"/>
      <c r="AG32" s="147" t="s">
        <v>1423</v>
      </c>
      <c r="AH32" s="601" t="str">
        <f>IF('Lower Extremity-Right'!T176="","",'Lower Extremity-Right'!T176)</f>
        <v/>
      </c>
      <c r="AI32" s="585" t="str">
        <f>IF(AH32="","",ROUND(AH32,0))</f>
        <v/>
      </c>
      <c r="AJ32" s="194">
        <f>IF(AI32="",0,VLOOKUP(AI32,$A$3:$AE$154,10))</f>
        <v>0</v>
      </c>
      <c r="AK32" s="62"/>
      <c r="AL32" s="147" t="s">
        <v>1421</v>
      </c>
      <c r="AM32" s="585" t="str">
        <f>IF('Lower Extremity-Right'!V176="","",'Lower Extremity-Right'!V176)</f>
        <v/>
      </c>
      <c r="AN32" s="585" t="str">
        <f>IF(AM32="","",ROUND(AM32,0))</f>
        <v/>
      </c>
      <c r="AO32" s="194">
        <f>IF(AN32="",0,VLOOKUP(AN32,$A$3:$AE$154,10))</f>
        <v>0</v>
      </c>
      <c r="AP32" s="14"/>
      <c r="AQ32" s="683" t="s">
        <v>1423</v>
      </c>
      <c r="AR32" s="585" t="str">
        <f>IF('Lower Extremity-Left'!T176="","",'Lower Extremity-Left'!T176)</f>
        <v/>
      </c>
      <c r="AS32" s="585" t="str">
        <f>IF(AR32="","",ROUND(AR32,0))</f>
        <v/>
      </c>
      <c r="AT32" s="194">
        <f>IF(AS32="",0,VLOOKUP(AS32,$A$3:$AE$154,10))</f>
        <v>0</v>
      </c>
      <c r="AU32" s="62"/>
      <c r="AV32" s="147" t="s">
        <v>1421</v>
      </c>
      <c r="AW32" s="585" t="str">
        <f>IF('Lower Extremity-Left'!V176="","",'Lower Extremity-Left'!V176)</f>
        <v/>
      </c>
      <c r="AX32" s="585" t="str">
        <f>IF(AW32="","",ROUND(AW32,0))</f>
        <v/>
      </c>
      <c r="AY32" s="194">
        <f>IF(AX32="",0,VLOOKUP(AX32,$A$3:$AE$154,10))</f>
        <v>0</v>
      </c>
    </row>
    <row r="33" spans="1:51" x14ac:dyDescent="0.3">
      <c r="A33" s="50">
        <v>30</v>
      </c>
      <c r="B33" s="588">
        <v>0</v>
      </c>
      <c r="C33" s="588">
        <v>0.75</v>
      </c>
      <c r="D33" s="588">
        <v>0.14000000000000001</v>
      </c>
      <c r="E33" s="588">
        <v>0.74</v>
      </c>
      <c r="F33" s="588">
        <v>0</v>
      </c>
      <c r="G33" s="588">
        <v>1</v>
      </c>
      <c r="H33" s="588">
        <v>7.0000000000000007E-2</v>
      </c>
      <c r="I33" s="588">
        <v>0.88</v>
      </c>
      <c r="J33" s="588">
        <v>0</v>
      </c>
      <c r="K33" s="588">
        <v>1</v>
      </c>
      <c r="L33" s="147">
        <v>0.05</v>
      </c>
      <c r="M33" s="147">
        <v>0.01</v>
      </c>
      <c r="N33" s="588">
        <v>0</v>
      </c>
      <c r="O33" s="588">
        <v>0.7</v>
      </c>
      <c r="P33" s="553"/>
      <c r="Q33" s="147"/>
      <c r="R33" s="520"/>
      <c r="S33" s="147"/>
      <c r="T33" s="588">
        <v>0.04</v>
      </c>
      <c r="U33" s="588">
        <v>0.6</v>
      </c>
      <c r="V33" s="588">
        <v>0.27</v>
      </c>
      <c r="W33" s="588">
        <v>0.42</v>
      </c>
      <c r="X33" s="588">
        <v>0.7</v>
      </c>
      <c r="Y33" s="588">
        <v>0.17</v>
      </c>
      <c r="Z33" s="588">
        <v>0.12</v>
      </c>
      <c r="AA33" s="588">
        <v>0</v>
      </c>
      <c r="AB33" s="588">
        <v>0.04</v>
      </c>
      <c r="AC33" s="588"/>
      <c r="AD33" s="588">
        <v>0.03</v>
      </c>
      <c r="AE33" s="588">
        <v>0.05</v>
      </c>
      <c r="AF33" s="94"/>
      <c r="AG33" s="147" t="s">
        <v>1424</v>
      </c>
      <c r="AH33" s="601" t="str">
        <f>IF('Lower Extremity-Right'!T177="","",'Lower Extremity-Right'!T177)</f>
        <v/>
      </c>
      <c r="AI33" s="585" t="str">
        <f>IF(AH33="","",ROUND(AH33,0))</f>
        <v/>
      </c>
      <c r="AJ33" s="194">
        <f>IF(AI33="",0,VLOOKUP(AI33,$A$3:$AE$154,11))</f>
        <v>0</v>
      </c>
      <c r="AK33" s="62"/>
      <c r="AL33" s="14"/>
      <c r="AM33" s="14"/>
      <c r="AN33" s="14"/>
      <c r="AO33" s="14"/>
      <c r="AP33" s="14"/>
      <c r="AQ33" s="14" t="s">
        <v>1424</v>
      </c>
      <c r="AR33" s="585" t="str">
        <f>IF('Lower Extremity-Left'!T177="","",'Lower Extremity-Left'!T177)</f>
        <v/>
      </c>
      <c r="AS33" s="585" t="str">
        <f>IF(AR33="","",ROUND(AR33,0))</f>
        <v/>
      </c>
      <c r="AT33" s="194">
        <f>IF(AS33="",0,VLOOKUP(AS33,$A$3:$AE$154,11))</f>
        <v>0</v>
      </c>
      <c r="AU33" s="62"/>
      <c r="AV33" s="14"/>
      <c r="AW33" s="14"/>
      <c r="AX33" s="14"/>
      <c r="AY33" s="14"/>
    </row>
    <row r="34" spans="1:51" x14ac:dyDescent="0.3">
      <c r="A34" s="50">
        <v>31</v>
      </c>
      <c r="B34" s="553"/>
      <c r="C34" s="553"/>
      <c r="D34" s="588">
        <v>0.13300000000000001</v>
      </c>
      <c r="E34" s="588">
        <v>0.753</v>
      </c>
      <c r="F34" s="553"/>
      <c r="G34" s="553"/>
      <c r="H34" s="588">
        <v>6.3E-2</v>
      </c>
      <c r="I34" s="588">
        <v>0.89200000000000002</v>
      </c>
      <c r="J34" s="553"/>
      <c r="K34" s="588"/>
      <c r="L34" s="147">
        <v>0.05</v>
      </c>
      <c r="M34" s="147">
        <v>0.01</v>
      </c>
      <c r="N34" s="553"/>
      <c r="O34" s="553"/>
      <c r="P34" s="553"/>
      <c r="Q34" s="147"/>
      <c r="R34" s="520"/>
      <c r="S34" s="147"/>
      <c r="T34" s="588">
        <v>3.5999999999999997E-2</v>
      </c>
      <c r="U34" s="588">
        <v>0.61</v>
      </c>
      <c r="V34" s="588">
        <v>0.28000000000000003</v>
      </c>
      <c r="W34" s="588">
        <v>0.41699999999999998</v>
      </c>
      <c r="X34" s="588">
        <v>0.71</v>
      </c>
      <c r="Y34" s="588">
        <v>0.18</v>
      </c>
      <c r="Z34" s="588">
        <v>0.11899999999999999</v>
      </c>
      <c r="AA34" s="588"/>
      <c r="AB34" s="588">
        <v>3.5999999999999997E-2</v>
      </c>
      <c r="AC34" s="588"/>
      <c r="AD34" s="588">
        <v>2.7E-2</v>
      </c>
      <c r="AE34" s="588">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3">
      <c r="A35" s="50">
        <v>32</v>
      </c>
      <c r="B35" s="553"/>
      <c r="C35" s="553"/>
      <c r="D35" s="588">
        <v>0.126</v>
      </c>
      <c r="E35" s="588">
        <v>0.76600000000000001</v>
      </c>
      <c r="F35" s="553"/>
      <c r="G35" s="553"/>
      <c r="H35" s="588">
        <v>5.6000000000000001E-2</v>
      </c>
      <c r="I35" s="588">
        <v>0.90400000000000003</v>
      </c>
      <c r="J35" s="553"/>
      <c r="K35" s="588"/>
      <c r="L35" s="147">
        <v>0.05</v>
      </c>
      <c r="M35" s="147">
        <v>0.01</v>
      </c>
      <c r="N35" s="553"/>
      <c r="O35" s="553"/>
      <c r="P35" s="553"/>
      <c r="Q35" s="147"/>
      <c r="R35" s="520"/>
      <c r="S35" s="147"/>
      <c r="T35" s="588">
        <v>3.2000000000000001E-2</v>
      </c>
      <c r="U35" s="588">
        <v>0.62</v>
      </c>
      <c r="V35" s="588">
        <v>0.28999999999999998</v>
      </c>
      <c r="W35" s="588">
        <v>0.41399999999999998</v>
      </c>
      <c r="X35" s="588">
        <v>0.72</v>
      </c>
      <c r="Y35" s="588">
        <v>0.19</v>
      </c>
      <c r="Z35" s="588">
        <v>0.11799999999999999</v>
      </c>
      <c r="AA35" s="588"/>
      <c r="AB35" s="588">
        <v>3.2000000000000001E-2</v>
      </c>
      <c r="AC35" s="588"/>
      <c r="AD35" s="588">
        <v>2.4E-2</v>
      </c>
      <c r="AE35" s="588">
        <v>4.5999999999999999E-2</v>
      </c>
      <c r="AF35" s="94"/>
      <c r="AG35" s="147" t="s">
        <v>671</v>
      </c>
      <c r="AH35" s="62"/>
      <c r="AI35" s="62"/>
      <c r="AJ35" s="14"/>
      <c r="AK35" s="62"/>
      <c r="AL35" s="14"/>
      <c r="AM35" s="14"/>
      <c r="AN35" s="14"/>
      <c r="AO35" s="14"/>
      <c r="AP35" s="14"/>
      <c r="AQ35" s="147" t="s">
        <v>671</v>
      </c>
      <c r="AR35" s="62"/>
      <c r="AS35" s="62"/>
      <c r="AT35" s="14"/>
      <c r="AU35" s="62"/>
      <c r="AV35" s="14"/>
      <c r="AW35" s="14"/>
      <c r="AX35" s="14"/>
      <c r="AY35" s="14"/>
    </row>
    <row r="36" spans="1:51" x14ac:dyDescent="0.3">
      <c r="A36" s="50">
        <v>33</v>
      </c>
      <c r="B36" s="553"/>
      <c r="C36" s="553"/>
      <c r="D36" s="588">
        <v>0.11899999999999999</v>
      </c>
      <c r="E36" s="588">
        <v>0.77900000000000003</v>
      </c>
      <c r="F36" s="553"/>
      <c r="G36" s="553"/>
      <c r="H36" s="588">
        <v>4.9000000000000002E-2</v>
      </c>
      <c r="I36" s="588">
        <v>0.91600000000000004</v>
      </c>
      <c r="J36" s="553"/>
      <c r="K36" s="588"/>
      <c r="L36" s="147">
        <v>0.05</v>
      </c>
      <c r="M36" s="147">
        <v>0.01</v>
      </c>
      <c r="N36" s="553"/>
      <c r="O36" s="553"/>
      <c r="P36" s="553"/>
      <c r="Q36" s="147"/>
      <c r="R36" s="520"/>
      <c r="S36" s="147"/>
      <c r="T36" s="588">
        <v>2.8000000000000001E-2</v>
      </c>
      <c r="U36" s="588">
        <v>0.63</v>
      </c>
      <c r="V36" s="588">
        <v>0.3</v>
      </c>
      <c r="W36" s="588">
        <v>0.41099999999999998</v>
      </c>
      <c r="X36" s="588">
        <v>0.73</v>
      </c>
      <c r="Y36" s="588">
        <v>0.2</v>
      </c>
      <c r="Z36" s="588">
        <v>0.11700000000000001</v>
      </c>
      <c r="AA36" s="588"/>
      <c r="AB36" s="588">
        <v>2.8000000000000001E-2</v>
      </c>
      <c r="AC36" s="588"/>
      <c r="AD36" s="588">
        <v>2.1000000000000001E-2</v>
      </c>
      <c r="AE36" s="588">
        <v>4.3999999999999997E-2</v>
      </c>
      <c r="AF36" s="94"/>
      <c r="AG36" s="259" t="s">
        <v>598</v>
      </c>
      <c r="AH36" s="601" t="str">
        <f>IF('Lower Extremity-Right'!T222="","",'Lower Extremity-Right'!T222)</f>
        <v/>
      </c>
      <c r="AI36" s="585" t="str">
        <f>IF(AH36="","",ROUND(AH36,0))</f>
        <v/>
      </c>
      <c r="AJ36" s="194">
        <f>IF(AI36="",0,VLOOKUP(AI36,$A$3:$AE$154,14))</f>
        <v>0</v>
      </c>
      <c r="AL36" s="147" t="s">
        <v>1596</v>
      </c>
      <c r="AM36" s="585" t="str">
        <f>IF('Lower Extremity-Right'!V222="","",'Lower Extremity-Right'!V222)</f>
        <v/>
      </c>
      <c r="AN36" s="585" t="str">
        <f>IF(AM36="","",ROUND(AM36,0))</f>
        <v/>
      </c>
      <c r="AO36" s="194">
        <f>IF(AN36="",0,VLOOKUP(AN36,$A$3:$AE$154,14))</f>
        <v>0</v>
      </c>
      <c r="AQ36" s="259" t="s">
        <v>598</v>
      </c>
      <c r="AR36" s="585" t="str">
        <f>IF('Lower Extremity-Left'!T222="","",'Lower Extremity-Left'!T222)</f>
        <v/>
      </c>
      <c r="AS36" s="585" t="str">
        <f>IF(AR36="","",ROUND(AR36,0))</f>
        <v/>
      </c>
      <c r="AT36" s="194">
        <f>IF(AS36="",0,VLOOKUP(AS36,$A$3:$AE$154,14))</f>
        <v>0</v>
      </c>
      <c r="AV36" s="147" t="s">
        <v>1596</v>
      </c>
      <c r="AW36" s="585" t="str">
        <f>IF('Lower Extremity-Left'!V222="","",'Lower Extremity-Left'!V222)</f>
        <v/>
      </c>
      <c r="AX36" s="585" t="str">
        <f>IF(AW36="","",ROUND(AW36,0))</f>
        <v/>
      </c>
      <c r="AY36" s="194">
        <f>IF(AX36="",0,VLOOKUP(AX36,$A$3:$AE$154,14))</f>
        <v>0</v>
      </c>
    </row>
    <row r="37" spans="1:51" x14ac:dyDescent="0.3">
      <c r="A37" s="50">
        <v>34</v>
      </c>
      <c r="B37" s="553"/>
      <c r="C37" s="553"/>
      <c r="D37" s="588">
        <v>0.112</v>
      </c>
      <c r="E37" s="588">
        <v>0.79200000000000004</v>
      </c>
      <c r="F37" s="553"/>
      <c r="G37" s="553"/>
      <c r="H37" s="588">
        <v>4.2000000000000003E-2</v>
      </c>
      <c r="I37" s="588">
        <v>0.92800000000000005</v>
      </c>
      <c r="J37" s="553"/>
      <c r="K37" s="588"/>
      <c r="L37" s="147">
        <v>0.05</v>
      </c>
      <c r="M37" s="147">
        <v>0.02</v>
      </c>
      <c r="N37" s="553"/>
      <c r="O37" s="553"/>
      <c r="P37" s="553"/>
      <c r="Q37" s="147"/>
      <c r="R37" s="520"/>
      <c r="S37" s="147"/>
      <c r="T37" s="588">
        <v>2.4E-2</v>
      </c>
      <c r="U37" s="588">
        <v>0.64</v>
      </c>
      <c r="V37" s="588">
        <v>0.31</v>
      </c>
      <c r="W37" s="588">
        <v>0.40799999999999997</v>
      </c>
      <c r="X37" s="588">
        <v>0.74</v>
      </c>
      <c r="Y37" s="588">
        <v>0.21</v>
      </c>
      <c r="Z37" s="588">
        <v>0.11600000000000001</v>
      </c>
      <c r="AA37" s="588"/>
      <c r="AB37" s="588">
        <v>2.4E-2</v>
      </c>
      <c r="AC37" s="588"/>
      <c r="AD37" s="588">
        <v>1.7999999999999999E-2</v>
      </c>
      <c r="AE37" s="588">
        <v>4.2000000000000003E-2</v>
      </c>
      <c r="AF37" s="94"/>
      <c r="AG37" s="259" t="s">
        <v>1013</v>
      </c>
      <c r="AH37" s="601" t="str">
        <f>IF('Lower Extremity-Right'!T223="","",'Lower Extremity-Right'!T223)</f>
        <v/>
      </c>
      <c r="AI37" s="585" t="str">
        <f>IF(AH37="","",ROUND(AH37,0))</f>
        <v/>
      </c>
      <c r="AJ37" s="194">
        <f>IF(AI37="",0,VLOOKUP(AI37,$A$3:$AE$154,15))</f>
        <v>0</v>
      </c>
      <c r="AP37" s="14"/>
      <c r="AQ37" s="259" t="s">
        <v>1013</v>
      </c>
      <c r="AR37" s="585" t="str">
        <f>IF('Lower Extremity-Left'!T223="","",'Lower Extremity-Left'!T223)</f>
        <v/>
      </c>
      <c r="AS37" s="585" t="str">
        <f>IF(AR37="","",ROUND(AR37,0))</f>
        <v/>
      </c>
      <c r="AT37" s="194">
        <f>IF(AS37="",0,VLOOKUP(AS37,$A$3:$AE$154,15))</f>
        <v>0</v>
      </c>
    </row>
    <row r="38" spans="1:51" x14ac:dyDescent="0.3">
      <c r="A38" s="50">
        <v>35</v>
      </c>
      <c r="B38" s="553"/>
      <c r="C38" s="553"/>
      <c r="D38" s="588">
        <v>0.105</v>
      </c>
      <c r="E38" s="588">
        <v>0.80500000000000005</v>
      </c>
      <c r="F38" s="553"/>
      <c r="G38" s="553"/>
      <c r="H38" s="588">
        <v>3.5000000000000003E-2</v>
      </c>
      <c r="I38" s="588">
        <v>0.94</v>
      </c>
      <c r="J38" s="553"/>
      <c r="K38" s="588"/>
      <c r="L38" s="147">
        <v>0.05</v>
      </c>
      <c r="M38" s="147">
        <v>0.02</v>
      </c>
      <c r="N38" s="553"/>
      <c r="O38" s="553"/>
      <c r="P38" s="553"/>
      <c r="Q38" s="147"/>
      <c r="R38" s="520"/>
      <c r="S38" s="147"/>
      <c r="T38" s="588">
        <v>0.02</v>
      </c>
      <c r="U38" s="588">
        <v>0.65</v>
      </c>
      <c r="V38" s="588">
        <v>0.32</v>
      </c>
      <c r="W38" s="588">
        <v>0.40500000000000003</v>
      </c>
      <c r="X38" s="588">
        <v>0.75</v>
      </c>
      <c r="Y38" s="588">
        <v>0.22</v>
      </c>
      <c r="Z38" s="588">
        <v>0.115</v>
      </c>
      <c r="AA38" s="588"/>
      <c r="AB38" s="588">
        <v>0.02</v>
      </c>
      <c r="AC38" s="588"/>
      <c r="AD38" s="588">
        <v>1.4999999999999999E-2</v>
      </c>
      <c r="AE38" s="588">
        <v>0.04</v>
      </c>
      <c r="AF38" s="94"/>
      <c r="AG38" s="259" t="s">
        <v>486</v>
      </c>
      <c r="AH38" s="601" t="str">
        <f>IF('Lower Extremity-Right'!T224="","",'Lower Extremity-Right'!T224)</f>
        <v/>
      </c>
      <c r="AI38" s="585" t="str">
        <f>IF(AH38="","",ROUND(AH38,0))</f>
        <v/>
      </c>
      <c r="AJ38" s="194">
        <f>IF(AI38="",0,VLOOKUP(AI38,$A$3:$AE$154,16))</f>
        <v>0</v>
      </c>
      <c r="AL38" s="147" t="s">
        <v>1596</v>
      </c>
      <c r="AM38" s="585" t="str">
        <f>IF('Lower Extremity-Right'!V224="","",'Lower Extremity-Right'!V224)</f>
        <v/>
      </c>
      <c r="AN38" s="585" t="str">
        <f>IF(AM38="","",ROUND(AM38,0))</f>
        <v/>
      </c>
      <c r="AO38" s="194">
        <f>IF(AN38="",0,VLOOKUP(AN38,$A$3:$AE$154,16))</f>
        <v>0</v>
      </c>
      <c r="AP38" s="14"/>
      <c r="AQ38" s="259" t="s">
        <v>486</v>
      </c>
      <c r="AR38" s="585" t="str">
        <f>IF('Lower Extremity-Left'!T224="","",'Lower Extremity-Left'!T224)</f>
        <v/>
      </c>
      <c r="AS38" s="585" t="str">
        <f>IF(AR38="","",ROUND(AR38,0))</f>
        <v/>
      </c>
      <c r="AT38" s="194">
        <f>IF(AS38="",0,VLOOKUP(AS38,$A$3:$AE$154,16))</f>
        <v>0</v>
      </c>
      <c r="AV38" s="147" t="s">
        <v>1596</v>
      </c>
      <c r="AW38" s="585" t="str">
        <f>IF('Lower Extremity-Left'!V224="","",'Lower Extremity-Left'!V224)</f>
        <v/>
      </c>
      <c r="AX38" s="585" t="str">
        <f>IF(AW38="","",ROUND(AW38,0))</f>
        <v/>
      </c>
      <c r="AY38" s="194">
        <f>IF(AX38="",0,VLOOKUP(AX38,$A$3:$AE$154,16))</f>
        <v>0</v>
      </c>
    </row>
    <row r="39" spans="1:51" x14ac:dyDescent="0.3">
      <c r="A39" s="50">
        <v>36</v>
      </c>
      <c r="B39" s="553"/>
      <c r="C39" s="553"/>
      <c r="D39" s="588">
        <v>9.8000000000000004E-2</v>
      </c>
      <c r="E39" s="588">
        <v>0.81799999999999995</v>
      </c>
      <c r="F39" s="553"/>
      <c r="G39" s="553"/>
      <c r="H39" s="588">
        <v>2.8000000000000001E-2</v>
      </c>
      <c r="I39" s="588">
        <v>0.95199999999999996</v>
      </c>
      <c r="J39" s="553"/>
      <c r="K39" s="588"/>
      <c r="L39" s="147">
        <v>0.06</v>
      </c>
      <c r="M39" s="147">
        <v>0.02</v>
      </c>
      <c r="N39" s="553"/>
      <c r="O39" s="553"/>
      <c r="P39" s="553"/>
      <c r="Q39" s="147"/>
      <c r="R39" s="520"/>
      <c r="S39" s="147"/>
      <c r="T39" s="588">
        <v>1.6E-2</v>
      </c>
      <c r="U39" s="588">
        <v>0.66</v>
      </c>
      <c r="V39" s="588">
        <v>0.32</v>
      </c>
      <c r="W39" s="588">
        <v>0.40200000000000002</v>
      </c>
      <c r="X39" s="588">
        <v>0.76</v>
      </c>
      <c r="Y39" s="588">
        <v>0.23</v>
      </c>
      <c r="Z39" s="588">
        <v>0.114</v>
      </c>
      <c r="AA39" s="588"/>
      <c r="AB39" s="588">
        <v>1.6E-2</v>
      </c>
      <c r="AC39" s="588"/>
      <c r="AD39" s="588">
        <v>1.2E-2</v>
      </c>
      <c r="AE39" s="588">
        <v>3.7999999999999999E-2</v>
      </c>
      <c r="AF39" s="94"/>
      <c r="AG39" s="259" t="s">
        <v>1014</v>
      </c>
      <c r="AH39" s="601" t="str">
        <f>IF('Lower Extremity-Right'!T225="","",'Lower Extremity-Right'!T225)</f>
        <v/>
      </c>
      <c r="AI39" s="585" t="str">
        <f>IF(AH39="","",ROUND(AH39,0))</f>
        <v/>
      </c>
      <c r="AJ39" s="194">
        <f>IF(AI39="",0,VLOOKUP(AI39,$A$3:$AE$154,17))</f>
        <v>0</v>
      </c>
      <c r="AM39" s="14"/>
      <c r="AN39" s="14"/>
      <c r="AO39" s="14"/>
      <c r="AP39" s="14"/>
      <c r="AQ39" s="259" t="s">
        <v>1014</v>
      </c>
      <c r="AR39" s="585" t="str">
        <f>IF('Lower Extremity-Left'!T225="","",'Lower Extremity-Left'!T225)</f>
        <v/>
      </c>
      <c r="AS39" s="585" t="str">
        <f>IF(AR39="","",ROUND(AR39,0))</f>
        <v/>
      </c>
      <c r="AT39" s="194">
        <f>IF(AS39="",0,VLOOKUP(AS39,$A$3:$AE$154,17))</f>
        <v>0</v>
      </c>
      <c r="AW39" s="14"/>
      <c r="AX39" s="14"/>
      <c r="AY39" s="14"/>
    </row>
    <row r="40" spans="1:51" x14ac:dyDescent="0.3">
      <c r="A40" s="50">
        <v>37</v>
      </c>
      <c r="B40" s="553"/>
      <c r="C40" s="553"/>
      <c r="D40" s="588">
        <v>9.0999999999999998E-2</v>
      </c>
      <c r="E40" s="588">
        <v>0.83099999999999996</v>
      </c>
      <c r="F40" s="553"/>
      <c r="G40" s="553"/>
      <c r="H40" s="588">
        <v>2.1000000000000001E-2</v>
      </c>
      <c r="I40" s="588">
        <v>0.96399999999999997</v>
      </c>
      <c r="J40" s="553"/>
      <c r="K40" s="588"/>
      <c r="L40" s="147">
        <v>0.06</v>
      </c>
      <c r="M40" s="147">
        <v>0.02</v>
      </c>
      <c r="N40" s="553"/>
      <c r="O40" s="553"/>
      <c r="P40" s="553"/>
      <c r="Q40" s="147"/>
      <c r="R40" s="520"/>
      <c r="S40" s="147"/>
      <c r="T40" s="588">
        <v>1.2E-2</v>
      </c>
      <c r="U40" s="588">
        <v>0.67</v>
      </c>
      <c r="V40" s="588">
        <v>0.33</v>
      </c>
      <c r="W40" s="588">
        <v>0.39900000000000002</v>
      </c>
      <c r="X40" s="588">
        <v>0.77</v>
      </c>
      <c r="Y40" s="588">
        <v>0.24</v>
      </c>
      <c r="Z40" s="588">
        <v>0.113</v>
      </c>
      <c r="AA40" s="588"/>
      <c r="AB40" s="588">
        <v>1.2E-2</v>
      </c>
      <c r="AC40" s="588"/>
      <c r="AD40" s="588">
        <v>8.9999999999999993E-3</v>
      </c>
      <c r="AE40" s="588">
        <v>3.5999999999999997E-2</v>
      </c>
      <c r="AF40" s="94"/>
      <c r="AL40" s="14"/>
      <c r="AM40" s="14"/>
      <c r="AN40" s="14"/>
      <c r="AO40" s="14"/>
      <c r="AP40" s="14"/>
      <c r="AV40" s="14"/>
      <c r="AW40" s="14"/>
      <c r="AX40" s="14"/>
      <c r="AY40" s="14"/>
    </row>
    <row r="41" spans="1:51" x14ac:dyDescent="0.3">
      <c r="A41" s="50">
        <v>38</v>
      </c>
      <c r="B41" s="553"/>
      <c r="C41" s="553"/>
      <c r="D41" s="588">
        <v>8.4000000000000005E-2</v>
      </c>
      <c r="E41" s="588">
        <v>0.84399999999999997</v>
      </c>
      <c r="F41" s="553"/>
      <c r="G41" s="553"/>
      <c r="H41" s="588">
        <v>1.4E-2</v>
      </c>
      <c r="I41" s="588">
        <v>0.97599999999999998</v>
      </c>
      <c r="J41" s="553"/>
      <c r="K41" s="588"/>
      <c r="L41" s="147">
        <v>0.06</v>
      </c>
      <c r="M41" s="147">
        <v>0.02</v>
      </c>
      <c r="N41" s="553"/>
      <c r="O41" s="553"/>
      <c r="P41" s="553"/>
      <c r="Q41" s="147"/>
      <c r="R41" s="520"/>
      <c r="S41" s="147"/>
      <c r="T41" s="588">
        <v>8.0000000000000002E-3</v>
      </c>
      <c r="U41" s="588">
        <v>0.68</v>
      </c>
      <c r="V41" s="588">
        <v>0.34</v>
      </c>
      <c r="W41" s="588">
        <v>0.39600000000000002</v>
      </c>
      <c r="X41" s="588">
        <v>0.78</v>
      </c>
      <c r="Y41" s="588">
        <v>0.25</v>
      </c>
      <c r="Z41" s="588">
        <v>0.112</v>
      </c>
      <c r="AA41" s="588"/>
      <c r="AB41" s="588">
        <v>8.0000000000000002E-3</v>
      </c>
      <c r="AC41" s="588"/>
      <c r="AD41" s="588">
        <v>6.0000000000000001E-3</v>
      </c>
      <c r="AE41" s="588">
        <v>3.4000000000000002E-2</v>
      </c>
      <c r="AF41" s="94"/>
      <c r="AG41" s="259" t="s">
        <v>1725</v>
      </c>
      <c r="AK41" s="62"/>
      <c r="AL41" s="14"/>
      <c r="AM41" s="14"/>
      <c r="AN41" s="14"/>
      <c r="AO41" s="14"/>
      <c r="AP41" s="14"/>
      <c r="AQ41" s="259" t="s">
        <v>1725</v>
      </c>
      <c r="AU41" s="62"/>
      <c r="AV41" s="14"/>
      <c r="AW41" s="14"/>
      <c r="AX41" s="14"/>
      <c r="AY41" s="14"/>
    </row>
    <row r="42" spans="1:51" x14ac:dyDescent="0.3">
      <c r="A42" s="50">
        <v>39</v>
      </c>
      <c r="B42" s="553"/>
      <c r="C42" s="553"/>
      <c r="D42" s="588">
        <v>7.6999999999999999E-2</v>
      </c>
      <c r="E42" s="588">
        <v>0.85699999999999998</v>
      </c>
      <c r="F42" s="553"/>
      <c r="G42" s="553"/>
      <c r="H42" s="588">
        <v>7.0000000000000001E-3</v>
      </c>
      <c r="I42" s="588">
        <v>0.98799999999999999</v>
      </c>
      <c r="J42" s="553"/>
      <c r="K42" s="588"/>
      <c r="L42" s="147">
        <v>0.06</v>
      </c>
      <c r="M42" s="147">
        <v>0.02</v>
      </c>
      <c r="N42" s="553"/>
      <c r="O42" s="553"/>
      <c r="P42" s="553"/>
      <c r="Q42" s="147"/>
      <c r="R42" s="520"/>
      <c r="S42" s="147"/>
      <c r="T42" s="588">
        <v>4.0000000000000001E-3</v>
      </c>
      <c r="U42" s="588">
        <v>0.69</v>
      </c>
      <c r="V42" s="588">
        <v>0.35</v>
      </c>
      <c r="W42" s="588">
        <v>0.39300000000000002</v>
      </c>
      <c r="X42" s="688">
        <v>0.79</v>
      </c>
      <c r="Y42" s="588">
        <v>0.26</v>
      </c>
      <c r="Z42" s="588">
        <v>0.111</v>
      </c>
      <c r="AA42" s="588"/>
      <c r="AB42" s="588">
        <v>4.0000000000000001E-3</v>
      </c>
      <c r="AC42" s="588"/>
      <c r="AD42" s="588">
        <v>3.0000000000000001E-3</v>
      </c>
      <c r="AE42" s="588">
        <v>3.2000000000000001E-2</v>
      </c>
      <c r="AF42" s="94"/>
      <c r="AG42" s="259" t="s">
        <v>1334</v>
      </c>
      <c r="AH42" s="601" t="str">
        <f>IF('Lower Extremity-Right'!T228="","",'Lower Extremity-Right'!T228)</f>
        <v/>
      </c>
      <c r="AI42" s="585" t="str">
        <f>IF(AH42="","",ROUND(AH42,0))</f>
        <v/>
      </c>
      <c r="AJ42" s="194">
        <f>IF(AI42="",0,VLOOKUP(AI42,$A$3:$AE$154,18))</f>
        <v>0</v>
      </c>
      <c r="AK42" s="62"/>
      <c r="AL42" s="147" t="s">
        <v>1596</v>
      </c>
      <c r="AM42" s="585" t="str">
        <f>IF('Lower Extremity-Right'!V228="","",'Lower Extremity-Right'!V228)</f>
        <v/>
      </c>
      <c r="AN42" s="585" t="str">
        <f>IF(AM42="","",ROUND(AM42,0))</f>
        <v/>
      </c>
      <c r="AO42" s="194">
        <f>IF(AN42="",0,VLOOKUP(AN42,$A$3:$AE$154,18))</f>
        <v>0</v>
      </c>
      <c r="AP42" s="14"/>
      <c r="AQ42" s="259" t="s">
        <v>1334</v>
      </c>
      <c r="AR42" s="585" t="str">
        <f>IF('Lower Extremity-Left'!T228="","",'Lower Extremity-Left'!T228)</f>
        <v/>
      </c>
      <c r="AS42" s="585" t="str">
        <f>IF(AR42="","",ROUND(AR42,0))</f>
        <v/>
      </c>
      <c r="AT42" s="194">
        <f>IF(AS42="",0,VLOOKUP(AS42,$A$3:$AE$154,18))</f>
        <v>0</v>
      </c>
      <c r="AU42" s="62"/>
      <c r="AV42" s="147" t="s">
        <v>1596</v>
      </c>
      <c r="AW42" s="585" t="str">
        <f>IF('Lower Extremity-Left'!V228="","",'Lower Extremity-Left'!V228)</f>
        <v/>
      </c>
      <c r="AX42" s="585" t="str">
        <f>IF(AW42="","",ROUND(AW42,0))</f>
        <v/>
      </c>
      <c r="AY42" s="194">
        <f>IF(AX42="",0,VLOOKUP(AX42,$A$3:$AE$154,18))</f>
        <v>0</v>
      </c>
    </row>
    <row r="43" spans="1:51" x14ac:dyDescent="0.3">
      <c r="A43" s="50">
        <v>40</v>
      </c>
      <c r="B43" s="553"/>
      <c r="C43" s="553"/>
      <c r="D43" s="588">
        <v>7.0000000000000007E-2</v>
      </c>
      <c r="E43" s="588">
        <v>0.87</v>
      </c>
      <c r="F43" s="553"/>
      <c r="G43" s="553"/>
      <c r="H43" s="588">
        <v>0</v>
      </c>
      <c r="I43" s="588">
        <v>1</v>
      </c>
      <c r="J43" s="553"/>
      <c r="K43" s="588"/>
      <c r="L43" s="147">
        <v>0.06</v>
      </c>
      <c r="M43" s="147">
        <v>0.02</v>
      </c>
      <c r="N43" s="553"/>
      <c r="O43" s="553"/>
      <c r="P43" s="553"/>
      <c r="Q43" s="147"/>
      <c r="R43" s="520"/>
      <c r="S43" s="147"/>
      <c r="T43" s="588">
        <v>0</v>
      </c>
      <c r="U43" s="588">
        <v>0.7</v>
      </c>
      <c r="V43" s="588">
        <v>0.36</v>
      </c>
      <c r="W43" s="588">
        <v>0.39</v>
      </c>
      <c r="X43" s="688">
        <v>0.8</v>
      </c>
      <c r="Y43" s="588">
        <v>0.27</v>
      </c>
      <c r="Z43" s="588">
        <v>0.11</v>
      </c>
      <c r="AA43" s="588"/>
      <c r="AB43" s="588">
        <v>0</v>
      </c>
      <c r="AC43" s="588"/>
      <c r="AD43" s="588">
        <v>0</v>
      </c>
      <c r="AE43" s="588">
        <v>0.03</v>
      </c>
      <c r="AF43" s="94"/>
      <c r="AG43" s="259" t="s">
        <v>1015</v>
      </c>
      <c r="AH43" s="601" t="str">
        <f>IF('Lower Extremity-Right'!T229="","",'Lower Extremity-Right'!T229)</f>
        <v/>
      </c>
      <c r="AI43" s="585" t="str">
        <f>IF(AH43="","",ROUND(AH43,0))</f>
        <v/>
      </c>
      <c r="AJ43" s="194">
        <f>IF(AI43="",0,VLOOKUP(AI43,$A$3:$AE$154,19))</f>
        <v>0</v>
      </c>
      <c r="AK43" s="62"/>
      <c r="AL43" s="14"/>
      <c r="AM43" s="14"/>
      <c r="AN43" s="14"/>
      <c r="AO43" s="14"/>
      <c r="AP43" s="14"/>
      <c r="AQ43" s="259" t="s">
        <v>1015</v>
      </c>
      <c r="AR43" s="585" t="str">
        <f>IF('Lower Extremity-Left'!T229="","",'Lower Extremity-Left'!T229)</f>
        <v/>
      </c>
      <c r="AS43" s="585" t="str">
        <f>IF(AR43="","",ROUND(AR43,0))</f>
        <v/>
      </c>
      <c r="AT43" s="194">
        <f>IF(AS43="",0,VLOOKUP(AS43,$A$3:$AE$154,19))</f>
        <v>0</v>
      </c>
      <c r="AU43" s="62"/>
      <c r="AV43" s="14"/>
      <c r="AW43" s="14"/>
      <c r="AX43" s="14"/>
      <c r="AY43" s="14"/>
    </row>
    <row r="44" spans="1:51" x14ac:dyDescent="0.3">
      <c r="A44" s="50">
        <v>41</v>
      </c>
      <c r="B44" s="553"/>
      <c r="C44" s="553"/>
      <c r="D44" s="588">
        <v>6.3E-2</v>
      </c>
      <c r="E44" s="588">
        <v>0.88300000000000001</v>
      </c>
      <c r="F44" s="553"/>
      <c r="G44" s="553"/>
      <c r="H44" s="553"/>
      <c r="I44" s="553"/>
      <c r="J44" s="553"/>
      <c r="K44" s="588"/>
      <c r="L44" s="147">
        <v>0.06</v>
      </c>
      <c r="M44" s="147">
        <v>0.02</v>
      </c>
      <c r="N44" s="553"/>
      <c r="O44" s="553"/>
      <c r="P44" s="553"/>
      <c r="Q44" s="147"/>
      <c r="R44" s="520"/>
      <c r="S44" s="147"/>
      <c r="T44" s="147"/>
      <c r="U44" s="147"/>
      <c r="V44" s="588">
        <v>0.37</v>
      </c>
      <c r="W44" s="588">
        <v>0.38600000000000001</v>
      </c>
      <c r="X44" s="688">
        <v>0.81</v>
      </c>
      <c r="Y44" s="588">
        <v>0.33300000000000002</v>
      </c>
      <c r="Z44" s="588">
        <v>0.108</v>
      </c>
      <c r="AA44" s="588"/>
      <c r="AB44" s="588"/>
      <c r="AC44" s="588"/>
      <c r="AD44" s="147"/>
      <c r="AE44" s="588">
        <v>2.7E-2</v>
      </c>
      <c r="AF44" s="94"/>
      <c r="AG44" s="275" t="s">
        <v>1016</v>
      </c>
      <c r="AH44" s="601" t="str">
        <f>IF('Lower Extremity-Right'!T230="","",'Lower Extremity-Right'!T230)</f>
        <v/>
      </c>
      <c r="AI44" s="585" t="str">
        <f>IF(AH44="","",ROUND(AH44,0))</f>
        <v/>
      </c>
      <c r="AJ44" s="194">
        <f>IF(AI44="",0,VLOOKUP(AI44,$A$3:$AE$154,20))</f>
        <v>0</v>
      </c>
      <c r="AK44" s="62"/>
      <c r="AL44" s="147" t="s">
        <v>1596</v>
      </c>
      <c r="AM44" s="585" t="str">
        <f>IF('Lower Extremity-Right'!V230="","",'Lower Extremity-Right'!V230)</f>
        <v/>
      </c>
      <c r="AN44" s="585" t="str">
        <f>IF(AM44="","",ROUND(AM44,0))</f>
        <v/>
      </c>
      <c r="AO44" s="194">
        <f>IF(AN44="",0,VLOOKUP(AN44,$A$3:$AE$154,20))</f>
        <v>0</v>
      </c>
      <c r="AP44" s="14"/>
      <c r="AQ44" s="275" t="s">
        <v>1016</v>
      </c>
      <c r="AR44" s="585" t="str">
        <f>IF('Lower Extremity-Left'!T230="","",'Lower Extremity-Left'!T230)</f>
        <v/>
      </c>
      <c r="AS44" s="585" t="str">
        <f>IF(AR44="","",ROUND(AR44,0))</f>
        <v/>
      </c>
      <c r="AT44" s="194">
        <f>IF(AS44="",0,VLOOKUP(AS44,$A$3:$AE$154,20))</f>
        <v>0</v>
      </c>
      <c r="AU44" s="62"/>
      <c r="AV44" s="147" t="s">
        <v>1596</v>
      </c>
      <c r="AW44" s="585" t="str">
        <f>IF('Lower Extremity-Left'!V230="","",'Lower Extremity-Left'!V230)</f>
        <v/>
      </c>
      <c r="AX44" s="585" t="str">
        <f>IF(AW44="","",ROUND(AW44,0))</f>
        <v/>
      </c>
      <c r="AY44" s="194">
        <f>IF(AX44="",0,VLOOKUP(AX44,$A$3:$AE$154,20))</f>
        <v>0</v>
      </c>
    </row>
    <row r="45" spans="1:51" x14ac:dyDescent="0.3">
      <c r="A45" s="50">
        <v>42</v>
      </c>
      <c r="B45" s="553"/>
      <c r="C45" s="553"/>
      <c r="D45" s="588">
        <v>5.6000000000000001E-2</v>
      </c>
      <c r="E45" s="588">
        <v>0.89600000000000002</v>
      </c>
      <c r="F45" s="553"/>
      <c r="G45" s="553"/>
      <c r="H45" s="553"/>
      <c r="I45" s="553"/>
      <c r="J45" s="553"/>
      <c r="K45" s="588"/>
      <c r="L45" s="147">
        <v>0.06</v>
      </c>
      <c r="M45" s="147">
        <v>0.02</v>
      </c>
      <c r="N45" s="553"/>
      <c r="O45" s="553"/>
      <c r="P45" s="553"/>
      <c r="Q45" s="147"/>
      <c r="R45" s="520"/>
      <c r="S45" s="147"/>
      <c r="T45" s="147"/>
      <c r="U45" s="147"/>
      <c r="V45" s="588">
        <v>0.38</v>
      </c>
      <c r="W45" s="588">
        <v>0.38200000000000001</v>
      </c>
      <c r="X45" s="688">
        <v>0.82</v>
      </c>
      <c r="Y45" s="588">
        <v>0.39600000000000002</v>
      </c>
      <c r="Z45" s="588">
        <v>0.106</v>
      </c>
      <c r="AA45" s="588"/>
      <c r="AB45" s="588"/>
      <c r="AC45" s="588"/>
      <c r="AD45" s="147"/>
      <c r="AE45" s="588">
        <v>2.4E-2</v>
      </c>
      <c r="AF45" s="94"/>
      <c r="AG45" s="275" t="s">
        <v>1017</v>
      </c>
      <c r="AH45" s="601" t="str">
        <f>IF('Lower Extremity-Right'!T231="","",'Lower Extremity-Right'!T231)</f>
        <v/>
      </c>
      <c r="AI45" s="585" t="str">
        <f>IF(AH45="","",ROUND(AH45,0))</f>
        <v/>
      </c>
      <c r="AJ45" s="194">
        <f>IF(AI45="",0,VLOOKUP(AI45,$A$3:$AE$154,21))</f>
        <v>0</v>
      </c>
      <c r="AK45" s="62"/>
      <c r="AL45" s="14"/>
      <c r="AM45" s="14"/>
      <c r="AN45" s="14"/>
      <c r="AO45" s="14"/>
      <c r="AP45" s="14"/>
      <c r="AQ45" s="275" t="s">
        <v>1017</v>
      </c>
      <c r="AR45" s="585" t="str">
        <f>IF('Lower Extremity-Left'!T231="","",'Lower Extremity-Left'!T231)</f>
        <v/>
      </c>
      <c r="AS45" s="585" t="str">
        <f>IF(AR45="","",ROUND(AR45,0))</f>
        <v/>
      </c>
      <c r="AT45" s="194">
        <f>IF(AS45="",0,VLOOKUP(AS45,$A$3:$AE$154,21))</f>
        <v>0</v>
      </c>
      <c r="AU45" s="62"/>
      <c r="AV45" s="14"/>
      <c r="AW45" s="14"/>
      <c r="AX45" s="14"/>
      <c r="AY45" s="14"/>
    </row>
    <row r="46" spans="1:51" x14ac:dyDescent="0.3">
      <c r="A46" s="50">
        <v>43</v>
      </c>
      <c r="B46" s="553"/>
      <c r="C46" s="553"/>
      <c r="D46" s="588">
        <v>4.9000000000000002E-2</v>
      </c>
      <c r="E46" s="588">
        <v>0.90900000000000003</v>
      </c>
      <c r="F46" s="553"/>
      <c r="G46" s="553"/>
      <c r="H46" s="553"/>
      <c r="I46" s="553"/>
      <c r="J46" s="553"/>
      <c r="K46" s="588"/>
      <c r="L46" s="147">
        <v>7.0000000000000007E-2</v>
      </c>
      <c r="M46" s="147">
        <v>0.02</v>
      </c>
      <c r="N46" s="553"/>
      <c r="O46" s="553"/>
      <c r="P46" s="553"/>
      <c r="Q46" s="147"/>
      <c r="R46" s="520"/>
      <c r="S46" s="147"/>
      <c r="T46" s="147"/>
      <c r="U46" s="147"/>
      <c r="V46" s="588">
        <v>0.39</v>
      </c>
      <c r="W46" s="588">
        <v>0.378</v>
      </c>
      <c r="X46" s="688">
        <v>0.83</v>
      </c>
      <c r="Y46" s="588">
        <v>0.45900000000000002</v>
      </c>
      <c r="Z46" s="588">
        <v>0.104</v>
      </c>
      <c r="AA46" s="588"/>
      <c r="AB46" s="588"/>
      <c r="AC46" s="588"/>
      <c r="AD46" s="147"/>
      <c r="AE46" s="588">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3">
      <c r="A47" s="50">
        <v>44</v>
      </c>
      <c r="B47" s="553"/>
      <c r="C47" s="553"/>
      <c r="D47" s="588">
        <v>4.2000000000000003E-2</v>
      </c>
      <c r="E47" s="588">
        <v>0.92200000000000004</v>
      </c>
      <c r="F47" s="553"/>
      <c r="G47" s="553"/>
      <c r="H47" s="553"/>
      <c r="I47" s="553"/>
      <c r="J47" s="553"/>
      <c r="K47" s="588"/>
      <c r="L47" s="147">
        <v>7.0000000000000007E-2</v>
      </c>
      <c r="M47" s="147">
        <v>0.02</v>
      </c>
      <c r="N47" s="553"/>
      <c r="O47" s="553"/>
      <c r="P47" s="553"/>
      <c r="Q47" s="147"/>
      <c r="R47" s="520"/>
      <c r="S47" s="147"/>
      <c r="T47" s="147"/>
      <c r="U47" s="147"/>
      <c r="V47" s="588">
        <v>0.4</v>
      </c>
      <c r="W47" s="588">
        <v>0.374</v>
      </c>
      <c r="X47" s="688">
        <v>0.84</v>
      </c>
      <c r="Y47" s="588">
        <v>0.52200000000000002</v>
      </c>
      <c r="Z47" s="588">
        <v>0.10199999999999999</v>
      </c>
      <c r="AA47" s="588"/>
      <c r="AB47" s="588"/>
      <c r="AC47" s="588"/>
      <c r="AD47" s="147"/>
      <c r="AE47" s="588">
        <v>1.7999999999999999E-2</v>
      </c>
      <c r="AF47" s="94"/>
      <c r="AG47" s="147" t="s">
        <v>1429</v>
      </c>
      <c r="AH47" s="62"/>
      <c r="AI47" s="62"/>
      <c r="AJ47" s="14"/>
      <c r="AK47" s="62"/>
      <c r="AL47" s="14"/>
      <c r="AM47" s="14"/>
      <c r="AN47" s="14"/>
      <c r="AO47" s="14"/>
      <c r="AP47" s="14"/>
      <c r="AQ47" s="147" t="s">
        <v>1429</v>
      </c>
      <c r="AR47" s="62"/>
      <c r="AS47" s="62"/>
      <c r="AT47" s="14"/>
      <c r="AU47" s="62"/>
      <c r="AV47" s="14"/>
      <c r="AW47" s="14"/>
      <c r="AX47" s="14"/>
      <c r="AY47" s="14"/>
    </row>
    <row r="48" spans="1:51" x14ac:dyDescent="0.3">
      <c r="A48" s="50">
        <v>45</v>
      </c>
      <c r="B48" s="553"/>
      <c r="C48" s="553"/>
      <c r="D48" s="588">
        <v>3.5000000000000003E-2</v>
      </c>
      <c r="E48" s="588">
        <v>0.93500000000000005</v>
      </c>
      <c r="F48" s="553"/>
      <c r="G48" s="553"/>
      <c r="H48" s="553"/>
      <c r="I48" s="553"/>
      <c r="J48" s="553"/>
      <c r="K48" s="588"/>
      <c r="L48" s="147">
        <v>7.0000000000000007E-2</v>
      </c>
      <c r="M48" s="147">
        <v>0.02</v>
      </c>
      <c r="N48" s="553"/>
      <c r="O48" s="553"/>
      <c r="P48" s="553"/>
      <c r="Q48" s="147"/>
      <c r="R48" s="520"/>
      <c r="S48" s="147"/>
      <c r="T48" s="147"/>
      <c r="U48" s="147"/>
      <c r="V48" s="588">
        <v>0.41</v>
      </c>
      <c r="W48" s="588">
        <v>0.37</v>
      </c>
      <c r="X48" s="688">
        <v>0.85</v>
      </c>
      <c r="Y48" s="588">
        <v>0.58499999999999996</v>
      </c>
      <c r="Z48" s="588">
        <v>0.1</v>
      </c>
      <c r="AA48" s="588"/>
      <c r="AB48" s="588"/>
      <c r="AC48" s="588"/>
      <c r="AD48" s="147"/>
      <c r="AE48" s="588">
        <v>1.4999999999999999E-2</v>
      </c>
      <c r="AF48" s="94"/>
      <c r="AG48" s="147" t="s">
        <v>1163</v>
      </c>
      <c r="AH48" s="695">
        <f>IF('Lower Extremity-Right'!C270="","",'Lower Extremity-Right'!C270*100)</f>
        <v>0</v>
      </c>
      <c r="AI48" s="585">
        <f>IF(AH48="","",ROUND(AH48,0))</f>
        <v>0</v>
      </c>
      <c r="AJ48" s="588">
        <f>IF(AI48="",0,VLOOKUP(AI48,$A$3:$AE$154,12))</f>
        <v>0</v>
      </c>
      <c r="AK48" s="62"/>
      <c r="AL48" s="14"/>
      <c r="AM48" s="14"/>
      <c r="AN48" s="14"/>
      <c r="AO48" s="14"/>
      <c r="AP48" s="14"/>
      <c r="AQ48" s="147" t="s">
        <v>1163</v>
      </c>
      <c r="AR48" s="578">
        <f>IF('Lower Extremity-Left'!C270="","",'Lower Extremity-Left'!C270*100)</f>
        <v>0</v>
      </c>
      <c r="AS48" s="585">
        <f>IF(AR48="","",ROUND(AR48,0))</f>
        <v>0</v>
      </c>
      <c r="AT48" s="588">
        <f>IF(AS48="",0,VLOOKUP(AS48,$A$3:$AE$154,12))</f>
        <v>0</v>
      </c>
      <c r="AU48" s="62"/>
      <c r="AV48" s="14"/>
      <c r="AW48" s="14"/>
      <c r="AX48" s="14"/>
      <c r="AY48" s="14"/>
    </row>
    <row r="49" spans="1:51" x14ac:dyDescent="0.3">
      <c r="A49" s="50">
        <v>46</v>
      </c>
      <c r="B49" s="553"/>
      <c r="C49" s="553"/>
      <c r="D49" s="588">
        <v>2.8000000000000001E-2</v>
      </c>
      <c r="E49" s="588">
        <v>0.94799999999999995</v>
      </c>
      <c r="F49" s="553"/>
      <c r="G49" s="553"/>
      <c r="H49" s="553"/>
      <c r="I49" s="553"/>
      <c r="J49" s="553"/>
      <c r="K49" s="588"/>
      <c r="L49" s="147">
        <v>7.0000000000000007E-2</v>
      </c>
      <c r="M49" s="147">
        <v>0.02</v>
      </c>
      <c r="N49" s="553"/>
      <c r="O49" s="553"/>
      <c r="P49" s="553"/>
      <c r="Q49" s="147"/>
      <c r="R49" s="520"/>
      <c r="S49" s="147"/>
      <c r="T49" s="147"/>
      <c r="U49" s="147"/>
      <c r="V49" s="588">
        <v>0.41</v>
      </c>
      <c r="W49" s="588">
        <v>0.36599999999999999</v>
      </c>
      <c r="X49" s="688">
        <v>0.86</v>
      </c>
      <c r="Y49" s="588">
        <v>0.64800000000000002</v>
      </c>
      <c r="Z49" s="588">
        <v>9.8000000000000004E-2</v>
      </c>
      <c r="AA49" s="588"/>
      <c r="AB49" s="588"/>
      <c r="AC49" s="588"/>
      <c r="AD49" s="147"/>
      <c r="AE49" s="588">
        <v>1.2E-2</v>
      </c>
      <c r="AF49" s="94"/>
      <c r="AG49" s="147" t="s">
        <v>863</v>
      </c>
      <c r="AH49" s="695">
        <f>IF('Lower Extremity-Right'!C271="","",'Lower Extremity-Right'!C271*100)</f>
        <v>0</v>
      </c>
      <c r="AI49" s="585">
        <f>IF(AH49="","",ROUND(AH49,0))</f>
        <v>0</v>
      </c>
      <c r="AJ49" s="588">
        <f>IF(AI49="",0,VLOOKUP(AI49,$A$3:$AE$154,13))</f>
        <v>0</v>
      </c>
      <c r="AK49" s="62"/>
      <c r="AL49" s="14"/>
      <c r="AM49" s="14"/>
      <c r="AN49" s="14"/>
      <c r="AO49" s="14"/>
      <c r="AP49" s="14"/>
      <c r="AQ49" s="147" t="s">
        <v>863</v>
      </c>
      <c r="AR49" s="578">
        <f>IF('Lower Extremity-Left'!C271="","",'Lower Extremity-Left'!C271*100)</f>
        <v>0</v>
      </c>
      <c r="AS49" s="585">
        <f>IF(AR49="","",ROUND(AR49,0))</f>
        <v>0</v>
      </c>
      <c r="AT49" s="588">
        <f>IF(AS49="",0,VLOOKUP(AS49,$A$3:$AE$154,13))</f>
        <v>0</v>
      </c>
      <c r="AU49" s="62"/>
      <c r="AV49" s="14"/>
      <c r="AW49" s="14"/>
      <c r="AX49" s="14"/>
      <c r="AY49" s="14"/>
    </row>
    <row r="50" spans="1:51" x14ac:dyDescent="0.3">
      <c r="A50" s="50">
        <v>47</v>
      </c>
      <c r="B50" s="553"/>
      <c r="C50" s="553"/>
      <c r="D50" s="588">
        <v>2.1000000000000001E-2</v>
      </c>
      <c r="E50" s="588">
        <v>0.96099999999999997</v>
      </c>
      <c r="F50" s="553"/>
      <c r="G50" s="553"/>
      <c r="H50" s="553"/>
      <c r="I50" s="553"/>
      <c r="J50" s="553"/>
      <c r="K50" s="588"/>
      <c r="L50" s="147">
        <v>7.0000000000000007E-2</v>
      </c>
      <c r="M50" s="147">
        <v>0.02</v>
      </c>
      <c r="N50" s="553"/>
      <c r="O50" s="553"/>
      <c r="P50" s="553"/>
      <c r="Q50" s="147"/>
      <c r="R50" s="520"/>
      <c r="S50" s="147"/>
      <c r="T50" s="147"/>
      <c r="U50" s="147"/>
      <c r="V50" s="588">
        <v>0.42</v>
      </c>
      <c r="W50" s="588">
        <v>0.36199999999999999</v>
      </c>
      <c r="X50" s="688">
        <v>0.87</v>
      </c>
      <c r="Y50" s="588">
        <v>0.71099999999999997</v>
      </c>
      <c r="Z50" s="588">
        <v>9.6000000000000002E-2</v>
      </c>
      <c r="AA50" s="588"/>
      <c r="AB50" s="588"/>
      <c r="AC50" s="588"/>
      <c r="AD50" s="147"/>
      <c r="AE50" s="588">
        <v>8.9999999999999993E-3</v>
      </c>
      <c r="AF50" s="94"/>
      <c r="AG50" s="147" t="s">
        <v>865</v>
      </c>
      <c r="AH50" s="695">
        <f>IF('Lower Extremity-Right'!C272="","",'Lower Extremity-Right'!C272*100)</f>
        <v>0</v>
      </c>
      <c r="AI50" s="585">
        <f>IF(AH50="","",ROUND(AH50,0))</f>
        <v>0</v>
      </c>
      <c r="AJ50" s="588">
        <f>IF(AI50="",0,VLOOKUP(AI50,$A$3:$AE$154,13))</f>
        <v>0</v>
      </c>
      <c r="AK50" s="62"/>
      <c r="AL50" s="14"/>
      <c r="AM50" s="14"/>
      <c r="AN50" s="14"/>
      <c r="AO50" s="14"/>
      <c r="AP50" s="14"/>
      <c r="AQ50" s="147" t="s">
        <v>865</v>
      </c>
      <c r="AR50" s="578">
        <f>IF('Lower Extremity-Left'!C272="","",'Lower Extremity-Left'!C272*100)</f>
        <v>0</v>
      </c>
      <c r="AS50" s="585">
        <f>IF(AR50="","",ROUND(AR50,0))</f>
        <v>0</v>
      </c>
      <c r="AT50" s="588">
        <f>IF(AS50="",0,VLOOKUP(AS50,$A$3:$AE$154,13))</f>
        <v>0</v>
      </c>
      <c r="AU50" s="62"/>
      <c r="AV50" s="14"/>
      <c r="AW50" s="14"/>
      <c r="AX50" s="14"/>
      <c r="AY50" s="14"/>
    </row>
    <row r="51" spans="1:51" x14ac:dyDescent="0.3">
      <c r="A51" s="50">
        <v>48</v>
      </c>
      <c r="B51" s="553"/>
      <c r="C51" s="553"/>
      <c r="D51" s="588">
        <v>1.4E-2</v>
      </c>
      <c r="E51" s="588">
        <v>0.97399999999999998</v>
      </c>
      <c r="F51" s="553"/>
      <c r="G51" s="553"/>
      <c r="H51" s="553"/>
      <c r="I51" s="553"/>
      <c r="J51" s="553"/>
      <c r="K51" s="588"/>
      <c r="L51" s="147">
        <v>7.0000000000000007E-2</v>
      </c>
      <c r="M51" s="147">
        <v>0.02</v>
      </c>
      <c r="N51" s="553"/>
      <c r="O51" s="553"/>
      <c r="P51" s="553"/>
      <c r="Q51" s="147"/>
      <c r="R51" s="520"/>
      <c r="S51" s="147"/>
      <c r="T51" s="147"/>
      <c r="U51" s="147"/>
      <c r="V51" s="588">
        <v>0.43</v>
      </c>
      <c r="W51" s="588">
        <v>0.35799999999999998</v>
      </c>
      <c r="X51" s="688">
        <v>0.88</v>
      </c>
      <c r="Y51" s="588">
        <v>0.77400000000000002</v>
      </c>
      <c r="Z51" s="588">
        <v>9.4E-2</v>
      </c>
      <c r="AA51" s="588"/>
      <c r="AB51" s="588"/>
      <c r="AC51" s="588"/>
      <c r="AD51" s="147"/>
      <c r="AE51" s="588">
        <v>6.0000000000000001E-3</v>
      </c>
      <c r="AF51" s="94"/>
      <c r="AG51" s="147" t="s">
        <v>866</v>
      </c>
      <c r="AH51" s="695">
        <f>IF('Lower Extremity-Right'!C273="","",'Lower Extremity-Right'!C273*100)</f>
        <v>0</v>
      </c>
      <c r="AI51" s="585">
        <f>IF(AH51="","",ROUND(AH51,0))</f>
        <v>0</v>
      </c>
      <c r="AJ51" s="588">
        <f>IF(AI51="",0,VLOOKUP(AI51,$A$3:$AE$154,13))</f>
        <v>0</v>
      </c>
      <c r="AK51" s="62"/>
      <c r="AL51" s="14"/>
      <c r="AM51" s="14"/>
      <c r="AN51" s="14"/>
      <c r="AO51" s="14"/>
      <c r="AP51" s="14"/>
      <c r="AQ51" s="147" t="s">
        <v>866</v>
      </c>
      <c r="AR51" s="578">
        <f>IF('Lower Extremity-Left'!C273="","",'Lower Extremity-Left'!C273*100)</f>
        <v>0</v>
      </c>
      <c r="AS51" s="585">
        <f>IF(AR51="","",ROUND(AR51,0))</f>
        <v>0</v>
      </c>
      <c r="AT51" s="588">
        <f>IF(AS51="",0,VLOOKUP(AS51,$A$3:$AE$154,13))</f>
        <v>0</v>
      </c>
      <c r="AU51" s="62"/>
      <c r="AV51" s="14"/>
      <c r="AW51" s="14"/>
      <c r="AX51" s="14"/>
      <c r="AY51" s="14"/>
    </row>
    <row r="52" spans="1:51" x14ac:dyDescent="0.3">
      <c r="A52" s="50">
        <v>49</v>
      </c>
      <c r="B52" s="553"/>
      <c r="C52" s="553"/>
      <c r="D52" s="588">
        <v>7.0000000000000001E-3</v>
      </c>
      <c r="E52" s="588">
        <v>0.98699999999999999</v>
      </c>
      <c r="F52" s="553"/>
      <c r="G52" s="553"/>
      <c r="H52" s="553"/>
      <c r="I52" s="553"/>
      <c r="J52" s="553"/>
      <c r="K52" s="588"/>
      <c r="L52" s="147">
        <v>7.0000000000000007E-2</v>
      </c>
      <c r="M52" s="147">
        <v>0.02</v>
      </c>
      <c r="N52" s="553"/>
      <c r="O52" s="553"/>
      <c r="P52" s="553"/>
      <c r="Q52" s="147"/>
      <c r="R52" s="520"/>
      <c r="S52" s="147"/>
      <c r="T52" s="147"/>
      <c r="U52" s="147"/>
      <c r="V52" s="688">
        <v>0.44</v>
      </c>
      <c r="W52" s="588">
        <v>0.35399999999999998</v>
      </c>
      <c r="X52" s="688">
        <v>0.89</v>
      </c>
      <c r="Y52" s="588">
        <v>0.83699999999999997</v>
      </c>
      <c r="Z52" s="588">
        <v>9.1999999999999998E-2</v>
      </c>
      <c r="AA52" s="588"/>
      <c r="AB52" s="588"/>
      <c r="AC52" s="588"/>
      <c r="AD52" s="147"/>
      <c r="AE52" s="588">
        <v>3.0000000000000001E-3</v>
      </c>
      <c r="AF52" s="94"/>
      <c r="AG52" s="147" t="s">
        <v>867</v>
      </c>
      <c r="AH52" s="695">
        <f>IF('Lower Extremity-Right'!C274="","",'Lower Extremity-Right'!C274*100)</f>
        <v>0</v>
      </c>
      <c r="AI52" s="585">
        <f>IF(AH52="","",ROUND(AH52,0))</f>
        <v>0</v>
      </c>
      <c r="AJ52" s="588">
        <f>IF(AI52="",0,VLOOKUP(AI52,$A$3:$AE$154,13))</f>
        <v>0</v>
      </c>
      <c r="AK52" s="62"/>
      <c r="AL52" s="14"/>
      <c r="AM52" s="14"/>
      <c r="AN52" s="14"/>
      <c r="AO52" s="14"/>
      <c r="AP52" s="14"/>
      <c r="AQ52" s="147" t="s">
        <v>867</v>
      </c>
      <c r="AR52" s="578">
        <f>IF('Lower Extremity-Left'!C274="","",'Lower Extremity-Left'!C274*100)</f>
        <v>0</v>
      </c>
      <c r="AS52" s="585">
        <f>IF(AR52="","",ROUND(AR52,0))</f>
        <v>0</v>
      </c>
      <c r="AT52" s="588">
        <f>IF(AS52="",0,VLOOKUP(AS52,$A$3:$AE$154,13))</f>
        <v>0</v>
      </c>
      <c r="AU52" s="62"/>
      <c r="AV52" s="14"/>
      <c r="AW52" s="14"/>
      <c r="AX52" s="14"/>
      <c r="AY52" s="14"/>
    </row>
    <row r="53" spans="1:51" x14ac:dyDescent="0.3">
      <c r="A53" s="50">
        <v>50</v>
      </c>
      <c r="B53" s="553"/>
      <c r="C53" s="553"/>
      <c r="D53" s="588">
        <v>0</v>
      </c>
      <c r="E53" s="588">
        <v>1</v>
      </c>
      <c r="F53" s="553"/>
      <c r="G53" s="553"/>
      <c r="H53" s="553"/>
      <c r="I53" s="553"/>
      <c r="J53" s="553"/>
      <c r="K53" s="588"/>
      <c r="L53" s="147">
        <v>7.0000000000000007E-2</v>
      </c>
      <c r="M53" s="147">
        <v>0.02</v>
      </c>
      <c r="N53" s="553"/>
      <c r="O53" s="553"/>
      <c r="P53" s="553"/>
      <c r="Q53" s="147"/>
      <c r="R53" s="520"/>
      <c r="S53" s="147"/>
      <c r="T53" s="147"/>
      <c r="U53" s="147"/>
      <c r="V53" s="588">
        <v>0.45</v>
      </c>
      <c r="W53" s="588">
        <v>0.35</v>
      </c>
      <c r="X53" s="691">
        <v>0.9</v>
      </c>
      <c r="Y53" s="691">
        <v>0.9</v>
      </c>
      <c r="Z53" s="588">
        <v>0.09</v>
      </c>
      <c r="AA53" s="588"/>
      <c r="AB53" s="588"/>
      <c r="AC53" s="588"/>
      <c r="AD53" s="147"/>
      <c r="AE53" s="588">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3">
      <c r="A54" s="50">
        <v>51</v>
      </c>
      <c r="B54" s="553"/>
      <c r="C54" s="553"/>
      <c r="D54" s="553"/>
      <c r="E54" s="553"/>
      <c r="F54" s="553"/>
      <c r="G54" s="553"/>
      <c r="H54" s="553"/>
      <c r="I54" s="553"/>
      <c r="J54" s="553"/>
      <c r="K54" s="588"/>
      <c r="L54" s="147">
        <v>0.08</v>
      </c>
      <c r="M54" s="147">
        <v>0.02</v>
      </c>
      <c r="N54" s="553"/>
      <c r="O54" s="553"/>
      <c r="P54" s="553"/>
      <c r="Q54" s="147"/>
      <c r="R54" s="520"/>
      <c r="S54" s="147"/>
      <c r="T54" s="147"/>
      <c r="U54" s="147"/>
      <c r="V54" s="588">
        <v>0.46</v>
      </c>
      <c r="W54" s="588">
        <v>0.34699999999999998</v>
      </c>
      <c r="X54" s="691">
        <v>0.9</v>
      </c>
      <c r="Y54" s="691">
        <v>0.9</v>
      </c>
      <c r="Z54" s="588">
        <v>8.7999999999999995E-2</v>
      </c>
      <c r="AA54" s="588"/>
      <c r="AB54" s="588"/>
      <c r="AC54" s="588"/>
      <c r="AD54" s="147"/>
      <c r="AE54" s="588"/>
      <c r="AF54" s="94"/>
      <c r="AG54" s="259" t="s">
        <v>1726</v>
      </c>
      <c r="AK54" s="62"/>
      <c r="AL54" s="14"/>
      <c r="AM54" s="14"/>
      <c r="AN54" s="14"/>
      <c r="AO54" s="14"/>
      <c r="AP54" s="14"/>
      <c r="AQ54" s="259" t="s">
        <v>1726</v>
      </c>
      <c r="AU54" s="62"/>
      <c r="AV54" s="14"/>
      <c r="AW54" s="14"/>
      <c r="AX54" s="14"/>
      <c r="AY54" s="14"/>
    </row>
    <row r="55" spans="1:51" x14ac:dyDescent="0.3">
      <c r="A55" s="50">
        <v>52</v>
      </c>
      <c r="B55" s="553"/>
      <c r="C55" s="553"/>
      <c r="D55" s="553"/>
      <c r="E55" s="553"/>
      <c r="F55" s="553"/>
      <c r="G55" s="553"/>
      <c r="H55" s="553"/>
      <c r="I55" s="553"/>
      <c r="J55" s="553"/>
      <c r="K55" s="588"/>
      <c r="L55" s="147">
        <v>0.08</v>
      </c>
      <c r="M55" s="147">
        <v>0.02</v>
      </c>
      <c r="N55" s="553"/>
      <c r="O55" s="553"/>
      <c r="P55" s="553"/>
      <c r="Q55" s="147"/>
      <c r="R55" s="520"/>
      <c r="S55" s="147"/>
      <c r="T55" s="147"/>
      <c r="U55" s="147"/>
      <c r="V55" s="588">
        <v>0.47</v>
      </c>
      <c r="W55" s="588">
        <v>0.34399999999999997</v>
      </c>
      <c r="X55" s="691">
        <v>0.9</v>
      </c>
      <c r="Y55" s="691">
        <v>0.9</v>
      </c>
      <c r="Z55" s="588">
        <v>8.5999999999999993E-2</v>
      </c>
      <c r="AA55" s="588"/>
      <c r="AB55" s="588"/>
      <c r="AC55" s="588"/>
      <c r="AD55" s="147"/>
      <c r="AE55" s="588"/>
      <c r="AF55" s="94"/>
      <c r="AG55" s="259" t="s">
        <v>852</v>
      </c>
      <c r="AH55" s="601" t="str">
        <f>IF('Lower Extremity-Right'!T377="","",'Lower Extremity-Right'!T377)</f>
        <v/>
      </c>
      <c r="AI55" s="585" t="str">
        <f>IF(AH55="","",ROUND(AH55,0))</f>
        <v/>
      </c>
      <c r="AJ55" s="194">
        <f>IF(AI55="",0,VLOOKUP(AI55,$A$3:$AE$154,23))</f>
        <v>0</v>
      </c>
      <c r="AK55" s="62"/>
      <c r="AL55" s="147" t="s">
        <v>1596</v>
      </c>
      <c r="AM55" s="585" t="str">
        <f>IF('Lower Extremity-Right'!V377="","",'Lower Extremity-Right'!V377)</f>
        <v/>
      </c>
      <c r="AN55" s="585" t="str">
        <f>IF(AM55="","",ROUND(AM55,0))</f>
        <v/>
      </c>
      <c r="AO55" s="194">
        <f>IF(AN55="",0,VLOOKUP(AN55,$A$3:$AE$154,23))</f>
        <v>0</v>
      </c>
      <c r="AP55" s="14"/>
      <c r="AQ55" s="259" t="s">
        <v>852</v>
      </c>
      <c r="AR55" s="585" t="str">
        <f>IF('Lower Extremity-Left'!T377="","",'Lower Extremity-Left'!T377)</f>
        <v/>
      </c>
      <c r="AS55" s="585" t="str">
        <f>IF(AR55="","",ROUND(AR55,0))</f>
        <v/>
      </c>
      <c r="AT55" s="194">
        <f>IF(AS55="",0,VLOOKUP(AS55,$A$3:$AE$154,23))</f>
        <v>0</v>
      </c>
      <c r="AU55" s="62"/>
      <c r="AV55" s="147" t="s">
        <v>1596</v>
      </c>
      <c r="AW55" s="585" t="str">
        <f>IF('Lower Extremity-Left'!V377="","",'Lower Extremity-Left'!V377)</f>
        <v/>
      </c>
      <c r="AX55" s="585" t="str">
        <f>IF(AW55="","",ROUND(AW55,0))</f>
        <v/>
      </c>
      <c r="AY55" s="194">
        <f>IF(AX55="",0,VLOOKUP(AX55,$A$3:$AE$154,23))</f>
        <v>0</v>
      </c>
    </row>
    <row r="56" spans="1:51" x14ac:dyDescent="0.3">
      <c r="A56" s="50">
        <v>53</v>
      </c>
      <c r="B56" s="553"/>
      <c r="C56" s="553"/>
      <c r="D56" s="553"/>
      <c r="E56" s="553"/>
      <c r="F56" s="553"/>
      <c r="G56" s="553"/>
      <c r="H56" s="553"/>
      <c r="I56" s="553"/>
      <c r="J56" s="553"/>
      <c r="K56" s="588"/>
      <c r="L56" s="147">
        <v>0.08</v>
      </c>
      <c r="M56" s="147">
        <v>0.02</v>
      </c>
      <c r="N56" s="553"/>
      <c r="O56" s="553"/>
      <c r="P56" s="553"/>
      <c r="Q56" s="147"/>
      <c r="R56" s="520"/>
      <c r="S56" s="147"/>
      <c r="T56" s="147"/>
      <c r="U56" s="147"/>
      <c r="V56" s="588">
        <v>0.48</v>
      </c>
      <c r="W56" s="588">
        <v>0.34100000000000003</v>
      </c>
      <c r="X56" s="691">
        <v>0.9</v>
      </c>
      <c r="Y56" s="691">
        <v>0.9</v>
      </c>
      <c r="Z56" s="588">
        <v>8.4000000000000005E-2</v>
      </c>
      <c r="AA56" s="588"/>
      <c r="AB56" s="588"/>
      <c r="AC56" s="588"/>
      <c r="AD56" s="147"/>
      <c r="AE56" s="588"/>
      <c r="AF56" s="94"/>
      <c r="AG56" s="259" t="s">
        <v>1203</v>
      </c>
      <c r="AH56" s="601" t="str">
        <f>IF('Lower Extremity-Right'!T378="","",'Lower Extremity-Right'!T378)</f>
        <v/>
      </c>
      <c r="AI56" s="585" t="str">
        <f>IF(AH56="","",ROUND(AH56,0))</f>
        <v/>
      </c>
      <c r="AJ56" s="194">
        <f>IF(AI56="",0,VLOOKUP(AI56,$A$3:$AE$154,24))</f>
        <v>0</v>
      </c>
      <c r="AK56" s="62"/>
      <c r="AL56" s="14"/>
      <c r="AM56" s="14"/>
      <c r="AN56" s="14"/>
      <c r="AO56" s="14"/>
      <c r="AP56" s="14"/>
      <c r="AQ56" s="259" t="s">
        <v>1203</v>
      </c>
      <c r="AR56" s="585" t="str">
        <f>IF('Lower Extremity-Left'!T378="","",'Lower Extremity-Left'!T378)</f>
        <v/>
      </c>
      <c r="AS56" s="585" t="str">
        <f>IF(AR56="","",ROUND(AR56,0))</f>
        <v/>
      </c>
      <c r="AT56" s="194">
        <f>IF(AS56="",0,VLOOKUP(AS56,$A$3:$AE$154,24))</f>
        <v>0</v>
      </c>
      <c r="AU56" s="62"/>
      <c r="AV56" s="14"/>
      <c r="AW56" s="14"/>
      <c r="AX56" s="14"/>
      <c r="AY56" s="14"/>
    </row>
    <row r="57" spans="1:51" x14ac:dyDescent="0.3">
      <c r="A57" s="50">
        <v>54</v>
      </c>
      <c r="B57" s="553"/>
      <c r="C57" s="553"/>
      <c r="D57" s="553"/>
      <c r="E57" s="553"/>
      <c r="F57" s="553"/>
      <c r="G57" s="553"/>
      <c r="H57" s="553"/>
      <c r="I57" s="553"/>
      <c r="J57" s="553"/>
      <c r="K57" s="588"/>
      <c r="L57" s="147">
        <v>0.08</v>
      </c>
      <c r="M57" s="147">
        <v>0.02</v>
      </c>
      <c r="N57" s="553"/>
      <c r="O57" s="553"/>
      <c r="P57" s="553"/>
      <c r="Q57" s="147"/>
      <c r="R57" s="520"/>
      <c r="S57" s="147"/>
      <c r="T57" s="147"/>
      <c r="U57" s="147"/>
      <c r="V57" s="588">
        <v>0.49</v>
      </c>
      <c r="W57" s="588">
        <v>0.33800000000000002</v>
      </c>
      <c r="X57" s="691">
        <v>0.9</v>
      </c>
      <c r="Y57" s="691">
        <v>0.9</v>
      </c>
      <c r="Z57" s="588">
        <v>8.2000000000000003E-2</v>
      </c>
      <c r="AA57" s="588"/>
      <c r="AB57" s="588"/>
      <c r="AC57" s="588"/>
      <c r="AD57" s="147"/>
      <c r="AE57" s="588"/>
      <c r="AF57" s="94"/>
      <c r="AG57" s="275" t="s">
        <v>853</v>
      </c>
      <c r="AH57" s="601" t="str">
        <f>IF('Lower Extremity-Right'!T379="","",'Lower Extremity-Right'!T379)</f>
        <v/>
      </c>
      <c r="AI57" s="585" t="str">
        <f>IF(AH57="","",ROUND(AH57,0))</f>
        <v/>
      </c>
      <c r="AJ57" s="194">
        <f>IF(AI57="",0,VLOOKUP(AI57,$A$3:$AE$154,25))</f>
        <v>0</v>
      </c>
      <c r="AK57" s="62"/>
      <c r="AL57" s="147" t="s">
        <v>1596</v>
      </c>
      <c r="AM57" s="585" t="str">
        <f>IF('Lower Extremity-Right'!V379="","",'Lower Extremity-Right'!V379)</f>
        <v/>
      </c>
      <c r="AN57" s="585" t="str">
        <f>IF(AM57="","",ROUND(AM57,0))</f>
        <v/>
      </c>
      <c r="AO57" s="194">
        <f>IF(AN57="",0,VLOOKUP(AN57,$A$3:$AE$154,25))</f>
        <v>0</v>
      </c>
      <c r="AP57" s="14"/>
      <c r="AQ57" s="275" t="s">
        <v>853</v>
      </c>
      <c r="AR57" s="585" t="str">
        <f>IF('Lower Extremity-Left'!T379="","",'Lower Extremity-Left'!T379)</f>
        <v/>
      </c>
      <c r="AS57" s="585" t="str">
        <f>IF(AR57="","",ROUND(AR57,0))</f>
        <v/>
      </c>
      <c r="AT57" s="194">
        <f>IF(AS57="",0,VLOOKUP(AS57,$A$3:$AE$154,25))</f>
        <v>0</v>
      </c>
      <c r="AU57" s="62"/>
      <c r="AV57" s="147" t="s">
        <v>1596</v>
      </c>
      <c r="AW57" s="585" t="str">
        <f>IF('Lower Extremity-Left'!V379="","",'Lower Extremity-Left'!V379)</f>
        <v/>
      </c>
      <c r="AX57" s="585" t="str">
        <f>IF(AW57="","",ROUND(AW57,0))</f>
        <v/>
      </c>
      <c r="AY57" s="194">
        <f>IF(AX57="",0,VLOOKUP(AX57,$A$3:$AE$154,25))</f>
        <v>0</v>
      </c>
    </row>
    <row r="58" spans="1:51" x14ac:dyDescent="0.3">
      <c r="A58" s="50">
        <v>55</v>
      </c>
      <c r="B58" s="553"/>
      <c r="C58" s="553"/>
      <c r="D58" s="553"/>
      <c r="E58" s="553"/>
      <c r="F58" s="553"/>
      <c r="G58" s="553"/>
      <c r="H58" s="553"/>
      <c r="I58" s="553"/>
      <c r="J58" s="553"/>
      <c r="K58" s="588"/>
      <c r="L58" s="147">
        <v>0.08</v>
      </c>
      <c r="M58" s="147">
        <v>0.02</v>
      </c>
      <c r="N58" s="553"/>
      <c r="O58" s="553"/>
      <c r="P58" s="553"/>
      <c r="Q58" s="147"/>
      <c r="R58" s="520"/>
      <c r="S58" s="147"/>
      <c r="T58" s="147"/>
      <c r="U58" s="147"/>
      <c r="V58" s="588">
        <v>0.5</v>
      </c>
      <c r="W58" s="588">
        <v>0.33500000000000002</v>
      </c>
      <c r="X58" s="691">
        <v>0.9</v>
      </c>
      <c r="Y58" s="691">
        <v>0.9</v>
      </c>
      <c r="Z58" s="588">
        <v>0.08</v>
      </c>
      <c r="AA58" s="588"/>
      <c r="AB58" s="588"/>
      <c r="AC58" s="588"/>
      <c r="AD58" s="147"/>
      <c r="AE58" s="588"/>
      <c r="AF58" s="94"/>
      <c r="AG58" s="275" t="s">
        <v>1205</v>
      </c>
      <c r="AH58" s="601" t="str">
        <f>IF('Lower Extremity-Right'!T380="","",'Lower Extremity-Right'!T380)</f>
        <v/>
      </c>
      <c r="AI58" s="585" t="str">
        <f>IF(AH58="","",ROUND(AH58,0))</f>
        <v/>
      </c>
      <c r="AJ58" s="194">
        <f>IF(AI58="",0,VLOOKUP(AI58,$A$3:$AE$154,24))</f>
        <v>0</v>
      </c>
      <c r="AK58" s="62"/>
      <c r="AL58" s="14"/>
      <c r="AM58" s="14"/>
      <c r="AN58" s="14"/>
      <c r="AO58" s="14"/>
      <c r="AP58" s="14"/>
      <c r="AQ58" s="275" t="s">
        <v>1205</v>
      </c>
      <c r="AR58" s="585" t="str">
        <f>IF('Lower Extremity-Left'!T380="","",'Lower Extremity-Left'!T380)</f>
        <v/>
      </c>
      <c r="AS58" s="585" t="str">
        <f>IF(AR58="","",ROUND(AR58,0))</f>
        <v/>
      </c>
      <c r="AT58" s="194">
        <f>IF(AS58="",0,VLOOKUP(AS58,$A$3:$AE$154,24))</f>
        <v>0</v>
      </c>
      <c r="AU58" s="62"/>
      <c r="AV58" s="14"/>
      <c r="AW58" s="14"/>
      <c r="AX58" s="14"/>
      <c r="AY58" s="14"/>
    </row>
    <row r="59" spans="1:51" x14ac:dyDescent="0.3">
      <c r="A59" s="50">
        <v>56</v>
      </c>
      <c r="B59" s="553"/>
      <c r="C59" s="553"/>
      <c r="D59" s="553"/>
      <c r="E59" s="553"/>
      <c r="F59" s="553"/>
      <c r="G59" s="553"/>
      <c r="H59" s="553"/>
      <c r="I59" s="553"/>
      <c r="J59" s="553"/>
      <c r="K59" s="588"/>
      <c r="L59" s="147">
        <v>0.08</v>
      </c>
      <c r="M59" s="147">
        <v>0.02</v>
      </c>
      <c r="N59" s="553"/>
      <c r="O59" s="553"/>
      <c r="P59" s="553"/>
      <c r="Q59" s="147"/>
      <c r="R59" s="520"/>
      <c r="S59" s="147"/>
      <c r="T59" s="147"/>
      <c r="U59" s="147"/>
      <c r="V59" s="588">
        <v>0.5</v>
      </c>
      <c r="W59" s="588">
        <v>0.33200000000000002</v>
      </c>
      <c r="X59" s="691">
        <v>0.9</v>
      </c>
      <c r="Y59" s="691">
        <v>0.9</v>
      </c>
      <c r="Z59" s="588">
        <v>7.8E-2</v>
      </c>
      <c r="AA59" s="588"/>
      <c r="AB59" s="588"/>
      <c r="AC59" s="588"/>
      <c r="AD59" s="147"/>
      <c r="AE59" s="588"/>
      <c r="AF59" s="94"/>
      <c r="AG59" s="14"/>
      <c r="AH59" s="62"/>
      <c r="AI59" s="62"/>
      <c r="AJ59" s="14"/>
      <c r="AK59" s="62"/>
      <c r="AL59" s="14"/>
      <c r="AM59" s="14"/>
      <c r="AN59" s="14"/>
      <c r="AO59" s="14"/>
      <c r="AP59" s="14"/>
      <c r="AQ59" s="14"/>
      <c r="AR59" s="62"/>
      <c r="AS59" s="62"/>
      <c r="AT59" s="14"/>
      <c r="AU59" s="62"/>
      <c r="AV59" s="14"/>
      <c r="AW59" s="14"/>
      <c r="AX59" s="14"/>
      <c r="AY59" s="14"/>
    </row>
    <row r="60" spans="1:51" x14ac:dyDescent="0.3">
      <c r="A60" s="50">
        <v>57</v>
      </c>
      <c r="B60" s="553"/>
      <c r="C60" s="553"/>
      <c r="D60" s="553"/>
      <c r="E60" s="553"/>
      <c r="F60" s="553"/>
      <c r="G60" s="553"/>
      <c r="H60" s="553"/>
      <c r="I60" s="553"/>
      <c r="J60" s="553"/>
      <c r="K60" s="588"/>
      <c r="L60" s="147">
        <v>0.08</v>
      </c>
      <c r="M60" s="147">
        <v>0.02</v>
      </c>
      <c r="N60" s="553"/>
      <c r="O60" s="553"/>
      <c r="P60" s="553"/>
      <c r="Q60" s="147"/>
      <c r="R60" s="520"/>
      <c r="S60" s="147"/>
      <c r="T60" s="147"/>
      <c r="U60" s="147"/>
      <c r="V60" s="588">
        <v>0.51</v>
      </c>
      <c r="W60" s="588">
        <v>0.32900000000000001</v>
      </c>
      <c r="X60" s="691">
        <v>0.9</v>
      </c>
      <c r="Y60" s="691">
        <v>0.9</v>
      </c>
      <c r="Z60" s="588">
        <v>7.5999999999999998E-2</v>
      </c>
      <c r="AA60" s="588"/>
      <c r="AB60" s="588"/>
      <c r="AC60" s="588"/>
      <c r="AD60" s="147"/>
      <c r="AE60" s="588"/>
      <c r="AF60" s="94"/>
      <c r="AG60" s="147" t="s">
        <v>1962</v>
      </c>
      <c r="AH60" s="62"/>
      <c r="AI60" s="62"/>
      <c r="AJ60" s="14"/>
      <c r="AK60" s="62"/>
      <c r="AL60" s="14"/>
      <c r="AM60" s="14"/>
      <c r="AN60" s="14"/>
      <c r="AO60" s="14"/>
      <c r="AP60" s="14"/>
      <c r="AQ60" s="147" t="s">
        <v>1962</v>
      </c>
      <c r="AR60" s="62"/>
      <c r="AS60" s="62"/>
      <c r="AT60" s="14"/>
      <c r="AU60" s="62"/>
      <c r="AV60" s="14"/>
      <c r="AW60" s="14"/>
      <c r="AX60" s="14"/>
      <c r="AY60" s="14"/>
    </row>
    <row r="61" spans="1:51" x14ac:dyDescent="0.3">
      <c r="A61" s="50">
        <v>58</v>
      </c>
      <c r="B61" s="553"/>
      <c r="C61" s="553"/>
      <c r="D61" s="553"/>
      <c r="E61" s="553"/>
      <c r="F61" s="553"/>
      <c r="G61" s="553"/>
      <c r="H61" s="553"/>
      <c r="I61" s="553"/>
      <c r="J61" s="553"/>
      <c r="K61" s="588"/>
      <c r="L61" s="147">
        <v>0.09</v>
      </c>
      <c r="M61" s="147">
        <v>0.02</v>
      </c>
      <c r="N61" s="553"/>
      <c r="O61" s="553"/>
      <c r="P61" s="553"/>
      <c r="Q61" s="147"/>
      <c r="R61" s="520"/>
      <c r="S61" s="147"/>
      <c r="T61" s="147"/>
      <c r="U61" s="147"/>
      <c r="V61" s="588">
        <v>0.52</v>
      </c>
      <c r="W61" s="588">
        <v>0.32600000000000001</v>
      </c>
      <c r="X61" s="691">
        <v>0.9</v>
      </c>
      <c r="Y61" s="691">
        <v>0.9</v>
      </c>
      <c r="Z61" s="588">
        <v>7.3999999999999996E-2</v>
      </c>
      <c r="AA61" s="588"/>
      <c r="AB61" s="588"/>
      <c r="AC61" s="588"/>
      <c r="AD61" s="147"/>
      <c r="AE61" s="588"/>
      <c r="AF61" s="94"/>
      <c r="AG61" s="147" t="s">
        <v>195</v>
      </c>
      <c r="AH61" s="601" t="str">
        <f>IF('Lower Extremity-Right'!T382="","",'Lower Extremity-Right'!T382)</f>
        <v/>
      </c>
      <c r="AI61" s="585" t="str">
        <f t="shared" ref="AI61:AI68" si="0">IF(AH61="","",ROUND(AH61,0))</f>
        <v/>
      </c>
      <c r="AJ61" s="194">
        <f>IF(AI61="",0,VLOOKUP(AI61,$A$3:$AE$154,26))</f>
        <v>0</v>
      </c>
      <c r="AK61" s="62"/>
      <c r="AL61" s="147" t="s">
        <v>1596</v>
      </c>
      <c r="AM61" s="585" t="str">
        <f>IF('Lower Extremity-Right'!V382="","",'Lower Extremity-Right'!V382)</f>
        <v/>
      </c>
      <c r="AN61" s="585" t="str">
        <f t="shared" ref="AN61:AN66" si="1">IF(AM61="","",ROUND(AM61,0))</f>
        <v/>
      </c>
      <c r="AO61" s="194">
        <f>IF(AN61="",0,VLOOKUP(AN61,$A$3:$AE$154,26))</f>
        <v>0</v>
      </c>
      <c r="AP61" s="14"/>
      <c r="AQ61" s="147" t="s">
        <v>195</v>
      </c>
      <c r="AR61" s="585" t="str">
        <f>IF('Lower Extremity-Left'!T382="","",'Lower Extremity-Left'!T382)</f>
        <v/>
      </c>
      <c r="AS61" s="585" t="str">
        <f t="shared" ref="AS61:AS66" si="2">IF(AR61="","",ROUND(AR61,0))</f>
        <v/>
      </c>
      <c r="AT61" s="194">
        <f>IF(AS61="",0,VLOOKUP(AS61,$A$3:$AE$154,26))</f>
        <v>0</v>
      </c>
      <c r="AU61" s="62"/>
      <c r="AV61" s="147" t="s">
        <v>1596</v>
      </c>
      <c r="AW61" s="585" t="str">
        <f>IF('Lower Extremity-Left'!V382="","",'Lower Extremity-Left'!V382)</f>
        <v/>
      </c>
      <c r="AX61" s="585" t="str">
        <f t="shared" ref="AX61:AX66" si="3">IF(AW61="","",ROUND(AW61,0))</f>
        <v/>
      </c>
      <c r="AY61" s="194">
        <f>IF(AX61="",0,VLOOKUP(AX61,$A$3:$AE$154,26))</f>
        <v>0</v>
      </c>
    </row>
    <row r="62" spans="1:51" x14ac:dyDescent="0.3">
      <c r="A62" s="50">
        <v>59</v>
      </c>
      <c r="B62" s="553"/>
      <c r="C62" s="553"/>
      <c r="D62" s="553"/>
      <c r="E62" s="553"/>
      <c r="F62" s="553"/>
      <c r="G62" s="553"/>
      <c r="H62" s="553"/>
      <c r="I62" s="553"/>
      <c r="J62" s="553"/>
      <c r="K62" s="588"/>
      <c r="L62" s="147">
        <v>0.09</v>
      </c>
      <c r="M62" s="147">
        <v>0.02</v>
      </c>
      <c r="N62" s="553"/>
      <c r="O62" s="553"/>
      <c r="P62" s="553"/>
      <c r="Q62" s="147"/>
      <c r="R62" s="520"/>
      <c r="S62" s="147"/>
      <c r="T62" s="147"/>
      <c r="U62" s="147"/>
      <c r="V62" s="588">
        <v>0.53</v>
      </c>
      <c r="W62" s="588">
        <v>0.32300000000000001</v>
      </c>
      <c r="X62" s="691">
        <v>0.9</v>
      </c>
      <c r="Y62" s="691">
        <v>0.9</v>
      </c>
      <c r="Z62" s="588">
        <v>7.1999999999999995E-2</v>
      </c>
      <c r="AA62" s="588"/>
      <c r="AB62" s="588"/>
      <c r="AC62" s="588"/>
      <c r="AD62" s="147"/>
      <c r="AE62" s="588"/>
      <c r="AF62" s="94"/>
      <c r="AG62" s="147" t="s">
        <v>1940</v>
      </c>
      <c r="AH62" s="601" t="str">
        <f>IF('Lower Extremity-Right'!T383="","",'Lower Extremity-Right'!T383)</f>
        <v/>
      </c>
      <c r="AI62" s="585" t="str">
        <f t="shared" si="0"/>
        <v/>
      </c>
      <c r="AJ62" s="194">
        <f>IF(AI62="",0,VLOOKUP(AI62,$A$3:$AE$154,27))</f>
        <v>0</v>
      </c>
      <c r="AK62" s="62"/>
      <c r="AL62" s="147" t="s">
        <v>1596</v>
      </c>
      <c r="AM62" s="585" t="str">
        <f>IF('Lower Extremity-Right'!V383="","",'Lower Extremity-Right'!V383)</f>
        <v/>
      </c>
      <c r="AN62" s="585" t="str">
        <f t="shared" si="1"/>
        <v/>
      </c>
      <c r="AO62" s="194">
        <f>IF(AN62="",0,VLOOKUP(AN62,$A$3:$AE$154,27))</f>
        <v>0</v>
      </c>
      <c r="AP62" s="14"/>
      <c r="AQ62" s="147" t="s">
        <v>1940</v>
      </c>
      <c r="AR62" s="585" t="str">
        <f>IF('Lower Extremity-Left'!T383="","",'Lower Extremity-Left'!T383)</f>
        <v/>
      </c>
      <c r="AS62" s="585" t="str">
        <f t="shared" si="2"/>
        <v/>
      </c>
      <c r="AT62" s="194">
        <f>IF(AS62="",0,VLOOKUP(AS62,$A$3:$AE$154,27))</f>
        <v>0</v>
      </c>
      <c r="AU62" s="62"/>
      <c r="AV62" s="147" t="s">
        <v>1596</v>
      </c>
      <c r="AW62" s="585" t="str">
        <f>IF('Lower Extremity-Left'!V383="","",'Lower Extremity-Left'!V383)</f>
        <v/>
      </c>
      <c r="AX62" s="585" t="str">
        <f t="shared" si="3"/>
        <v/>
      </c>
      <c r="AY62" s="194">
        <f>IF(AX62="",0,VLOOKUP(AX62,$A$3:$AE$154,27))</f>
        <v>0</v>
      </c>
    </row>
    <row r="63" spans="1:51" x14ac:dyDescent="0.3">
      <c r="A63" s="50">
        <v>60</v>
      </c>
      <c r="B63" s="553"/>
      <c r="C63" s="553"/>
      <c r="D63" s="553"/>
      <c r="E63" s="553"/>
      <c r="F63" s="553"/>
      <c r="G63" s="553"/>
      <c r="H63" s="553"/>
      <c r="I63" s="553"/>
      <c r="J63" s="553"/>
      <c r="K63" s="588"/>
      <c r="L63" s="147">
        <v>0.09</v>
      </c>
      <c r="M63" s="147">
        <v>0.02</v>
      </c>
      <c r="N63" s="553"/>
      <c r="O63" s="553"/>
      <c r="P63" s="553"/>
      <c r="Q63" s="147"/>
      <c r="R63" s="520"/>
      <c r="S63" s="147"/>
      <c r="T63" s="147"/>
      <c r="U63" s="147"/>
      <c r="V63" s="588">
        <v>0.54</v>
      </c>
      <c r="W63" s="588">
        <v>0.32</v>
      </c>
      <c r="X63" s="691">
        <v>0.9</v>
      </c>
      <c r="Y63" s="691">
        <v>0.9</v>
      </c>
      <c r="Z63" s="588">
        <v>7.0000000000000007E-2</v>
      </c>
      <c r="AA63" s="588"/>
      <c r="AB63" s="588"/>
      <c r="AC63" s="588"/>
      <c r="AD63" s="147"/>
      <c r="AE63" s="588"/>
      <c r="AF63" s="94"/>
      <c r="AG63" s="147" t="s">
        <v>691</v>
      </c>
      <c r="AH63" s="601" t="str">
        <f>IF('Lower Extremity-Right'!T384="","",'Lower Extremity-Right'!T384)</f>
        <v/>
      </c>
      <c r="AI63" s="585" t="str">
        <f t="shared" si="0"/>
        <v/>
      </c>
      <c r="AJ63" s="194">
        <f>IF(AI63="",0,VLOOKUP(AI63,$A$3:$AE$154,28))</f>
        <v>0</v>
      </c>
      <c r="AK63" s="62"/>
      <c r="AL63" s="147" t="s">
        <v>1596</v>
      </c>
      <c r="AM63" s="585" t="str">
        <f>IF('Lower Extremity-Right'!V384="","",'Lower Extremity-Right'!V384)</f>
        <v/>
      </c>
      <c r="AN63" s="585" t="str">
        <f t="shared" si="1"/>
        <v/>
      </c>
      <c r="AO63" s="194">
        <f>IF(AN63="",0,VLOOKUP(AN63,$A$3:$AE$154,28))</f>
        <v>0</v>
      </c>
      <c r="AP63" s="14"/>
      <c r="AQ63" s="147" t="s">
        <v>691</v>
      </c>
      <c r="AR63" s="585" t="str">
        <f>IF('Lower Extremity-Left'!T384="","",'Lower Extremity-Left'!T384)</f>
        <v/>
      </c>
      <c r="AS63" s="585" t="str">
        <f t="shared" si="2"/>
        <v/>
      </c>
      <c r="AT63" s="194">
        <f>IF(AS63="",0,VLOOKUP(AS63,$A$3:$AE$154,28))</f>
        <v>0</v>
      </c>
      <c r="AU63" s="62"/>
      <c r="AV63" s="147" t="s">
        <v>1596</v>
      </c>
      <c r="AW63" s="585" t="str">
        <f>IF('Lower Extremity-Left'!V384="","",'Lower Extremity-Left'!V384)</f>
        <v/>
      </c>
      <c r="AX63" s="585" t="str">
        <f t="shared" si="3"/>
        <v/>
      </c>
      <c r="AY63" s="194">
        <f>IF(AX63="",0,VLOOKUP(AX63,$A$3:$AE$154,28))</f>
        <v>0</v>
      </c>
    </row>
    <row r="64" spans="1:51" x14ac:dyDescent="0.3">
      <c r="A64" s="50">
        <v>61</v>
      </c>
      <c r="B64" s="553"/>
      <c r="C64" s="553"/>
      <c r="D64" s="553"/>
      <c r="E64" s="50"/>
      <c r="F64" s="50"/>
      <c r="G64" s="50"/>
      <c r="H64" s="553"/>
      <c r="I64" s="553"/>
      <c r="J64" s="553"/>
      <c r="K64" s="588"/>
      <c r="L64" s="147">
        <v>0.09</v>
      </c>
      <c r="M64" s="147">
        <v>0.02</v>
      </c>
      <c r="N64" s="553"/>
      <c r="O64" s="553"/>
      <c r="P64" s="553"/>
      <c r="Q64" s="147"/>
      <c r="R64" s="520"/>
      <c r="S64" s="147"/>
      <c r="T64" s="147"/>
      <c r="U64" s="147"/>
      <c r="V64" s="588">
        <v>0.55000000000000004</v>
      </c>
      <c r="W64" s="588">
        <v>0.316</v>
      </c>
      <c r="X64" s="691">
        <v>0.9</v>
      </c>
      <c r="Y64" s="691">
        <v>0.9</v>
      </c>
      <c r="Z64" s="588">
        <v>6.8000000000000005E-2</v>
      </c>
      <c r="AA64" s="588"/>
      <c r="AB64" s="588"/>
      <c r="AC64" s="588"/>
      <c r="AD64" s="147"/>
      <c r="AE64" s="588"/>
      <c r="AF64" s="94"/>
      <c r="AG64" s="147" t="s">
        <v>695</v>
      </c>
      <c r="AH64" s="601" t="str">
        <f>IF('Lower Extremity-Right'!T385="","",'Lower Extremity-Right'!T385)</f>
        <v/>
      </c>
      <c r="AI64" s="585" t="str">
        <f t="shared" si="0"/>
        <v/>
      </c>
      <c r="AJ64" s="194">
        <f>IF(AI64="",0,VLOOKUP(AI64,$A$3:$AE$154,29))</f>
        <v>0</v>
      </c>
      <c r="AK64" s="62"/>
      <c r="AL64" s="147" t="s">
        <v>1596</v>
      </c>
      <c r="AM64" s="585" t="str">
        <f>IF('Lower Extremity-Right'!V385="","",'Lower Extremity-Right'!V385)</f>
        <v/>
      </c>
      <c r="AN64" s="585" t="str">
        <f t="shared" si="1"/>
        <v/>
      </c>
      <c r="AO64" s="194">
        <f>IF(AN64="",0,VLOOKUP(AN64,$A$3:$AE$154,29))</f>
        <v>0</v>
      </c>
      <c r="AP64" s="14"/>
      <c r="AQ64" s="147" t="s">
        <v>695</v>
      </c>
      <c r="AR64" s="585" t="str">
        <f>IF('Lower Extremity-Left'!T385="","",'Lower Extremity-Left'!T385)</f>
        <v/>
      </c>
      <c r="AS64" s="585" t="str">
        <f t="shared" si="2"/>
        <v/>
      </c>
      <c r="AT64" s="194">
        <f>IF(AS64="",0,VLOOKUP(AS64,$A$3:$AE$154,29))</f>
        <v>0</v>
      </c>
      <c r="AU64" s="62"/>
      <c r="AV64" s="147" t="s">
        <v>1596</v>
      </c>
      <c r="AW64" s="585" t="str">
        <f>IF('Lower Extremity-Left'!V385="","",'Lower Extremity-Left'!V385)</f>
        <v/>
      </c>
      <c r="AX64" s="585" t="str">
        <f t="shared" si="3"/>
        <v/>
      </c>
      <c r="AY64" s="194">
        <f>IF(AX64="",0,VLOOKUP(AX64,$A$3:$AE$154,29))</f>
        <v>0</v>
      </c>
    </row>
    <row r="65" spans="1:51" x14ac:dyDescent="0.3">
      <c r="A65" s="50">
        <v>62</v>
      </c>
      <c r="B65" s="553"/>
      <c r="C65" s="553"/>
      <c r="D65" s="553"/>
      <c r="E65" s="50"/>
      <c r="F65" s="50"/>
      <c r="G65" s="50"/>
      <c r="H65" s="553"/>
      <c r="I65" s="553"/>
      <c r="J65" s="553"/>
      <c r="K65" s="588"/>
      <c r="L65" s="147">
        <v>0.09</v>
      </c>
      <c r="M65" s="147">
        <v>0.02</v>
      </c>
      <c r="N65" s="553"/>
      <c r="O65" s="553"/>
      <c r="P65" s="553"/>
      <c r="Q65" s="147"/>
      <c r="R65" s="520"/>
      <c r="S65" s="147"/>
      <c r="T65" s="147"/>
      <c r="U65" s="147"/>
      <c r="V65" s="588">
        <v>0.56000000000000005</v>
      </c>
      <c r="W65" s="588">
        <v>0.312</v>
      </c>
      <c r="X65" s="691">
        <v>0.9</v>
      </c>
      <c r="Y65" s="691">
        <v>0.9</v>
      </c>
      <c r="Z65" s="588">
        <v>6.6000000000000003E-2</v>
      </c>
      <c r="AA65" s="588"/>
      <c r="AB65" s="588"/>
      <c r="AC65" s="588"/>
      <c r="AD65" s="147"/>
      <c r="AE65" s="588"/>
      <c r="AF65" s="94"/>
      <c r="AG65" s="147" t="s">
        <v>699</v>
      </c>
      <c r="AH65" s="601" t="str">
        <f>IF('Lower Extremity-Right'!T386="","",'Lower Extremity-Right'!T386)</f>
        <v/>
      </c>
      <c r="AI65" s="585" t="str">
        <f t="shared" si="0"/>
        <v/>
      </c>
      <c r="AJ65" s="194">
        <f>IF(AI65="",0,VLOOKUP(AI65,$A$3:$AE$154,30))</f>
        <v>0</v>
      </c>
      <c r="AK65" s="62"/>
      <c r="AL65" s="147" t="s">
        <v>1596</v>
      </c>
      <c r="AM65" s="585" t="str">
        <f>IF('Lower Extremity-Right'!V386="","",'Lower Extremity-Right'!V386)</f>
        <v/>
      </c>
      <c r="AN65" s="585" t="str">
        <f t="shared" si="1"/>
        <v/>
      </c>
      <c r="AO65" s="194">
        <f>IF(AN65="",0,VLOOKUP(AN65,$A$3:$AE$154,30))</f>
        <v>0</v>
      </c>
      <c r="AP65" s="14"/>
      <c r="AQ65" s="147" t="s">
        <v>699</v>
      </c>
      <c r="AR65" s="585" t="str">
        <f>IF('Lower Extremity-Left'!T386="","",'Lower Extremity-Left'!T386)</f>
        <v/>
      </c>
      <c r="AS65" s="585" t="str">
        <f t="shared" si="2"/>
        <v/>
      </c>
      <c r="AT65" s="194">
        <f>IF(AS65="",0,VLOOKUP(AS65,$A$3:$AE$154,30))</f>
        <v>0</v>
      </c>
      <c r="AU65" s="62"/>
      <c r="AV65" s="147" t="s">
        <v>1596</v>
      </c>
      <c r="AW65" s="585" t="str">
        <f>IF('Lower Extremity-Left'!V386="","",'Lower Extremity-Left'!V386)</f>
        <v/>
      </c>
      <c r="AX65" s="585" t="str">
        <f t="shared" si="3"/>
        <v/>
      </c>
      <c r="AY65" s="194">
        <f>IF(AX65="",0,VLOOKUP(AX65,$A$3:$AE$154,30))</f>
        <v>0</v>
      </c>
    </row>
    <row r="66" spans="1:51" x14ac:dyDescent="0.3">
      <c r="A66" s="50">
        <v>63</v>
      </c>
      <c r="B66" s="553"/>
      <c r="C66" s="553"/>
      <c r="D66" s="553"/>
      <c r="E66" s="50"/>
      <c r="F66" s="50"/>
      <c r="G66" s="50"/>
      <c r="H66" s="553"/>
      <c r="I66" s="553"/>
      <c r="J66" s="553"/>
      <c r="K66" s="588"/>
      <c r="L66" s="147">
        <v>0.09</v>
      </c>
      <c r="M66" s="147">
        <v>0.02</v>
      </c>
      <c r="N66" s="553"/>
      <c r="O66" s="553"/>
      <c r="P66" s="553"/>
      <c r="Q66" s="147"/>
      <c r="R66" s="520"/>
      <c r="S66" s="147"/>
      <c r="T66" s="147"/>
      <c r="U66" s="147"/>
      <c r="V66" s="588">
        <v>0.56999999999999995</v>
      </c>
      <c r="W66" s="588">
        <v>0.308</v>
      </c>
      <c r="X66" s="691">
        <v>0.9</v>
      </c>
      <c r="Y66" s="691">
        <v>0.9</v>
      </c>
      <c r="Z66" s="588">
        <v>6.4000000000000001E-2</v>
      </c>
      <c r="AA66" s="588"/>
      <c r="AB66" s="588"/>
      <c r="AC66" s="588"/>
      <c r="AD66" s="147"/>
      <c r="AE66" s="588"/>
      <c r="AF66" s="94"/>
      <c r="AG66" s="147" t="s">
        <v>592</v>
      </c>
      <c r="AH66" s="601" t="str">
        <f>IF('Lower Extremity-Right'!T387="","",'Lower Extremity-Right'!T387)</f>
        <v/>
      </c>
      <c r="AI66" s="585" t="str">
        <f t="shared" si="0"/>
        <v/>
      </c>
      <c r="AJ66" s="194">
        <f>IF(AI66="",0,VLOOKUP(AI66,$A$3:$AE$154,31))</f>
        <v>0</v>
      </c>
      <c r="AK66" s="62"/>
      <c r="AL66" s="147" t="s">
        <v>1596</v>
      </c>
      <c r="AM66" s="585" t="str">
        <f>IF('Lower Extremity-Right'!V387="","",'Lower Extremity-Right'!V387)</f>
        <v/>
      </c>
      <c r="AN66" s="585" t="str">
        <f t="shared" si="1"/>
        <v/>
      </c>
      <c r="AO66" s="194">
        <f>IF(AN66="",0,VLOOKUP(AN66,$A$3:$AE$154,31))</f>
        <v>0</v>
      </c>
      <c r="AP66" s="14"/>
      <c r="AQ66" s="147" t="s">
        <v>592</v>
      </c>
      <c r="AR66" s="585" t="str">
        <f>IF('Lower Extremity-Left'!T387="","",'Lower Extremity-Left'!T387)</f>
        <v/>
      </c>
      <c r="AS66" s="585" t="str">
        <f t="shared" si="2"/>
        <v/>
      </c>
      <c r="AT66" s="194">
        <f>IF(AS66="",0,VLOOKUP(AS66,$A$3:$AE$154,31))</f>
        <v>0</v>
      </c>
      <c r="AU66" s="62"/>
      <c r="AV66" s="147" t="s">
        <v>1596</v>
      </c>
      <c r="AW66" s="585" t="str">
        <f>IF('Lower Extremity-Left'!V387="","",'Lower Extremity-Left'!V387)</f>
        <v/>
      </c>
      <c r="AX66" s="585" t="str">
        <f t="shared" si="3"/>
        <v/>
      </c>
      <c r="AY66" s="194">
        <f>IF(AX66="",0,VLOOKUP(AX66,$A$3:$AE$154,31))</f>
        <v>0</v>
      </c>
    </row>
    <row r="67" spans="1:51" x14ac:dyDescent="0.3">
      <c r="A67" s="50">
        <v>64</v>
      </c>
      <c r="B67" s="553"/>
      <c r="C67" s="553"/>
      <c r="D67" s="553"/>
      <c r="E67" s="50"/>
      <c r="F67" s="50"/>
      <c r="G67" s="50"/>
      <c r="H67" s="553"/>
      <c r="I67" s="553"/>
      <c r="J67" s="553"/>
      <c r="K67" s="588"/>
      <c r="L67" s="147">
        <v>0.09</v>
      </c>
      <c r="M67" s="147">
        <v>0.02</v>
      </c>
      <c r="N67" s="553"/>
      <c r="O67" s="553"/>
      <c r="P67" s="553"/>
      <c r="Q67" s="147"/>
      <c r="R67" s="520"/>
      <c r="S67" s="147"/>
      <c r="T67" s="147"/>
      <c r="U67" s="147"/>
      <c r="V67" s="588">
        <v>0.57999999999999996</v>
      </c>
      <c r="W67" s="588">
        <v>0.30399999999999999</v>
      </c>
      <c r="X67" s="691">
        <v>0.9</v>
      </c>
      <c r="Y67" s="691">
        <v>0.9</v>
      </c>
      <c r="Z67" s="588">
        <v>6.2E-2</v>
      </c>
      <c r="AA67" s="588"/>
      <c r="AB67" s="588"/>
      <c r="AC67" s="588"/>
      <c r="AD67" s="147"/>
      <c r="AE67" s="588"/>
      <c r="AF67" s="94"/>
      <c r="AG67" s="14"/>
      <c r="AH67" s="62"/>
      <c r="AI67" s="62"/>
      <c r="AJ67" s="14"/>
      <c r="AK67" s="62"/>
      <c r="AL67" s="14"/>
      <c r="AM67" s="14"/>
      <c r="AN67" s="14"/>
      <c r="AO67" s="14"/>
      <c r="AP67" s="14"/>
      <c r="AQ67" s="14"/>
      <c r="AR67" s="62"/>
      <c r="AS67" s="62"/>
      <c r="AT67" s="14"/>
      <c r="AU67" s="62"/>
      <c r="AV67" s="14"/>
      <c r="AW67" s="14"/>
      <c r="AX67" s="14"/>
      <c r="AY67" s="14"/>
    </row>
    <row r="68" spans="1:51" x14ac:dyDescent="0.3">
      <c r="A68" s="50">
        <v>65</v>
      </c>
      <c r="B68" s="553"/>
      <c r="C68" s="553"/>
      <c r="D68" s="553"/>
      <c r="E68" s="50"/>
      <c r="F68" s="50"/>
      <c r="G68" s="50"/>
      <c r="H68" s="553"/>
      <c r="I68" s="553"/>
      <c r="J68" s="553"/>
      <c r="K68" s="588"/>
      <c r="L68" s="147">
        <v>0.1</v>
      </c>
      <c r="M68" s="147">
        <v>0.02</v>
      </c>
      <c r="N68" s="553"/>
      <c r="O68" s="553"/>
      <c r="P68" s="553"/>
      <c r="Q68" s="147"/>
      <c r="R68" s="520"/>
      <c r="S68" s="147"/>
      <c r="T68" s="147"/>
      <c r="U68" s="147"/>
      <c r="V68" s="588">
        <v>0.59</v>
      </c>
      <c r="W68" s="588">
        <v>0.3</v>
      </c>
      <c r="X68" s="691">
        <v>0.9</v>
      </c>
      <c r="Y68" s="691">
        <v>0.9</v>
      </c>
      <c r="Z68" s="588">
        <v>0.06</v>
      </c>
      <c r="AA68" s="588"/>
      <c r="AB68" s="588"/>
      <c r="AC68" s="588"/>
      <c r="AD68" s="147"/>
      <c r="AE68" s="588"/>
      <c r="AF68" s="94"/>
      <c r="AG68" s="147" t="s">
        <v>1430</v>
      </c>
      <c r="AH68" s="585">
        <f>'Lower Extremity-Right'!C446*100</f>
        <v>0</v>
      </c>
      <c r="AI68" s="585">
        <f t="shared" si="0"/>
        <v>0</v>
      </c>
      <c r="AJ68" s="194">
        <f>IF(AI68="",0,VLOOKUP(AI68,$A$3:$AE$154,22))</f>
        <v>0</v>
      </c>
      <c r="AK68" s="62"/>
      <c r="AL68" s="14"/>
      <c r="AM68" s="14"/>
      <c r="AN68" s="14"/>
      <c r="AO68" s="14"/>
      <c r="AP68" s="14"/>
      <c r="AQ68" s="147" t="s">
        <v>1430</v>
      </c>
      <c r="AR68" s="585">
        <f>'Lower Extremity-Left'!C446*100</f>
        <v>0</v>
      </c>
      <c r="AS68" s="585">
        <f>IF(AR68="","",ROUND(AR68,0))</f>
        <v>0</v>
      </c>
      <c r="AT68" s="194">
        <f>IF(AS68="",0,VLOOKUP(AS68,$A$3:$AE$154,22))</f>
        <v>0</v>
      </c>
      <c r="AU68" s="62"/>
      <c r="AV68" s="14"/>
      <c r="AW68" s="14"/>
      <c r="AX68" s="14"/>
      <c r="AY68" s="14"/>
    </row>
    <row r="69" spans="1:51" x14ac:dyDescent="0.3">
      <c r="A69" s="50">
        <v>66</v>
      </c>
      <c r="B69" s="553"/>
      <c r="C69" s="553"/>
      <c r="D69" s="553"/>
      <c r="E69" s="50"/>
      <c r="F69" s="50"/>
      <c r="G69" s="50"/>
      <c r="H69" s="553"/>
      <c r="I69" s="553"/>
      <c r="J69" s="553"/>
      <c r="K69" s="588"/>
      <c r="L69" s="147">
        <v>0.1</v>
      </c>
      <c r="M69" s="147">
        <v>0.02</v>
      </c>
      <c r="N69" s="553"/>
      <c r="O69" s="553"/>
      <c r="P69" s="553"/>
      <c r="Q69" s="147"/>
      <c r="R69" s="520"/>
      <c r="S69" s="147"/>
      <c r="T69" s="147"/>
      <c r="U69" s="147"/>
      <c r="V69" s="588">
        <v>0.59</v>
      </c>
      <c r="W69" s="588">
        <v>0.29599999999999999</v>
      </c>
      <c r="X69" s="691">
        <v>0.9</v>
      </c>
      <c r="Y69" s="691">
        <v>0.9</v>
      </c>
      <c r="Z69" s="588">
        <v>5.8000000000000003E-2</v>
      </c>
      <c r="AA69" s="588"/>
      <c r="AB69" s="588"/>
      <c r="AC69" s="588"/>
      <c r="AD69" s="147"/>
      <c r="AE69" s="588"/>
      <c r="AF69" s="94"/>
      <c r="AG69" s="14"/>
      <c r="AH69" s="62"/>
      <c r="AI69" s="62"/>
      <c r="AJ69" s="14"/>
      <c r="AK69" s="62"/>
      <c r="AL69" s="14"/>
      <c r="AM69" s="14"/>
      <c r="AN69" s="14"/>
      <c r="AO69" s="14"/>
      <c r="AP69" s="14"/>
    </row>
    <row r="70" spans="1:51" x14ac:dyDescent="0.3">
      <c r="A70" s="50">
        <v>67</v>
      </c>
      <c r="B70" s="553"/>
      <c r="C70" s="553"/>
      <c r="D70" s="553"/>
      <c r="E70" s="50"/>
      <c r="F70" s="50"/>
      <c r="G70" s="50"/>
      <c r="H70" s="553"/>
      <c r="I70" s="553"/>
      <c r="J70" s="553"/>
      <c r="K70" s="588"/>
      <c r="L70" s="147">
        <v>0.1</v>
      </c>
      <c r="M70" s="147">
        <v>0.02</v>
      </c>
      <c r="N70" s="553"/>
      <c r="O70" s="553"/>
      <c r="P70" s="553"/>
      <c r="Q70" s="147"/>
      <c r="R70" s="520"/>
      <c r="S70" s="147"/>
      <c r="T70" s="147"/>
      <c r="U70" s="147"/>
      <c r="V70" s="588">
        <v>0.6</v>
      </c>
      <c r="W70" s="588">
        <v>0.29199999999999998</v>
      </c>
      <c r="X70" s="691">
        <v>0.9</v>
      </c>
      <c r="Y70" s="691">
        <v>0.9</v>
      </c>
      <c r="Z70" s="588">
        <v>5.6000000000000001E-2</v>
      </c>
      <c r="AA70" s="588"/>
      <c r="AB70" s="588"/>
      <c r="AC70" s="588"/>
      <c r="AD70" s="147"/>
      <c r="AE70" s="588"/>
      <c r="AF70" s="94"/>
      <c r="AG70" s="14"/>
      <c r="AH70" s="62"/>
      <c r="AI70" s="62"/>
      <c r="AJ70" s="14"/>
      <c r="AK70" s="62"/>
      <c r="AL70" s="14"/>
      <c r="AM70" s="14"/>
      <c r="AN70" s="14"/>
      <c r="AO70" s="14"/>
      <c r="AP70" s="14"/>
    </row>
    <row r="71" spans="1:51" x14ac:dyDescent="0.3">
      <c r="A71" s="50">
        <v>68</v>
      </c>
      <c r="B71" s="553"/>
      <c r="C71" s="553"/>
      <c r="D71" s="553"/>
      <c r="E71" s="50"/>
      <c r="F71" s="50"/>
      <c r="G71" s="50"/>
      <c r="H71" s="553"/>
      <c r="I71" s="553"/>
      <c r="J71" s="553"/>
      <c r="K71" s="588"/>
      <c r="L71" s="147">
        <v>0.1</v>
      </c>
      <c r="M71" s="147">
        <v>0.03</v>
      </c>
      <c r="N71" s="553"/>
      <c r="O71" s="553"/>
      <c r="P71" s="553"/>
      <c r="Q71" s="147"/>
      <c r="R71" s="520"/>
      <c r="S71" s="147"/>
      <c r="T71" s="147"/>
      <c r="U71" s="147"/>
      <c r="V71" s="588">
        <v>0.61</v>
      </c>
      <c r="W71" s="588">
        <v>0.28799999999999998</v>
      </c>
      <c r="X71" s="691">
        <v>0.9</v>
      </c>
      <c r="Y71" s="691">
        <v>0.9</v>
      </c>
      <c r="Z71" s="588">
        <v>5.3999999999999999E-2</v>
      </c>
      <c r="AA71" s="588"/>
      <c r="AB71" s="588"/>
      <c r="AC71" s="588"/>
      <c r="AD71" s="147"/>
      <c r="AE71" s="588"/>
      <c r="AF71" s="94"/>
      <c r="AG71" s="14"/>
      <c r="AH71" s="62"/>
      <c r="AI71" s="62"/>
      <c r="AJ71" s="14"/>
      <c r="AK71" s="62"/>
      <c r="AL71" s="14"/>
      <c r="AM71" s="14"/>
      <c r="AN71" s="14"/>
      <c r="AO71" s="14"/>
      <c r="AP71" s="14"/>
    </row>
    <row r="72" spans="1:51" x14ac:dyDescent="0.3">
      <c r="A72" s="50">
        <v>69</v>
      </c>
      <c r="B72" s="553"/>
      <c r="C72" s="553"/>
      <c r="D72" s="553"/>
      <c r="E72" s="50"/>
      <c r="F72" s="50"/>
      <c r="G72" s="50"/>
      <c r="H72" s="553"/>
      <c r="I72" s="553"/>
      <c r="J72" s="553"/>
      <c r="K72" s="588"/>
      <c r="L72" s="147">
        <v>0.1</v>
      </c>
      <c r="M72" s="147">
        <v>0.03</v>
      </c>
      <c r="N72" s="553"/>
      <c r="O72" s="553"/>
      <c r="P72" s="553"/>
      <c r="Q72" s="147"/>
      <c r="R72" s="520"/>
      <c r="S72" s="147"/>
      <c r="T72" s="147"/>
      <c r="U72" s="147"/>
      <c r="V72" s="588">
        <v>0.62</v>
      </c>
      <c r="W72" s="588">
        <v>0.28399999999999997</v>
      </c>
      <c r="X72" s="691">
        <v>0.9</v>
      </c>
      <c r="Y72" s="691">
        <v>0.9</v>
      </c>
      <c r="Z72" s="588">
        <v>5.1999999999999998E-2</v>
      </c>
      <c r="AA72" s="588"/>
      <c r="AB72" s="588"/>
      <c r="AC72" s="588"/>
      <c r="AD72" s="147"/>
      <c r="AE72" s="588"/>
      <c r="AF72" s="94"/>
      <c r="AG72" s="14"/>
      <c r="AH72" s="62"/>
      <c r="AI72" s="62"/>
      <c r="AJ72" s="14"/>
      <c r="AK72" s="62"/>
      <c r="AL72" s="14"/>
      <c r="AM72" s="14"/>
      <c r="AN72" s="14"/>
      <c r="AO72" s="14"/>
      <c r="AP72" s="14"/>
    </row>
    <row r="73" spans="1:51" x14ac:dyDescent="0.3">
      <c r="A73" s="50">
        <v>70</v>
      </c>
      <c r="B73" s="553"/>
      <c r="C73" s="553"/>
      <c r="D73" s="553"/>
      <c r="E73" s="50"/>
      <c r="F73" s="50"/>
      <c r="G73" s="50"/>
      <c r="H73" s="553"/>
      <c r="I73" s="553"/>
      <c r="J73" s="553"/>
      <c r="K73" s="588"/>
      <c r="L73" s="147">
        <v>0.1</v>
      </c>
      <c r="M73" s="147">
        <v>0.03</v>
      </c>
      <c r="N73" s="553"/>
      <c r="O73" s="553"/>
      <c r="P73" s="553"/>
      <c r="Q73" s="147"/>
      <c r="R73" s="520"/>
      <c r="S73" s="147"/>
      <c r="T73" s="147"/>
      <c r="U73" s="147"/>
      <c r="V73" s="588">
        <v>0.63</v>
      </c>
      <c r="W73" s="588">
        <v>0.28000000000000003</v>
      </c>
      <c r="X73" s="691">
        <v>0.9</v>
      </c>
      <c r="Y73" s="691">
        <v>0.9</v>
      </c>
      <c r="Z73" s="588">
        <v>0.05</v>
      </c>
      <c r="AA73" s="588"/>
      <c r="AB73" s="588"/>
      <c r="AC73" s="588"/>
      <c r="AD73" s="147"/>
      <c r="AE73" s="588"/>
      <c r="AF73" s="94"/>
      <c r="AG73" s="14"/>
      <c r="AH73" s="62"/>
      <c r="AI73" s="62"/>
      <c r="AJ73" s="14"/>
      <c r="AK73" s="62"/>
      <c r="AL73" s="14"/>
      <c r="AM73" s="14"/>
      <c r="AN73" s="14"/>
      <c r="AO73" s="14"/>
      <c r="AP73" s="14"/>
    </row>
    <row r="74" spans="1:51" x14ac:dyDescent="0.3">
      <c r="A74" s="50">
        <v>71</v>
      </c>
      <c r="B74" s="553"/>
      <c r="C74" s="553"/>
      <c r="D74" s="553"/>
      <c r="E74" s="50"/>
      <c r="F74" s="50"/>
      <c r="G74" s="50"/>
      <c r="H74" s="50"/>
      <c r="I74" s="50"/>
      <c r="J74" s="50"/>
      <c r="K74" s="588"/>
      <c r="L74" s="147">
        <v>0.1</v>
      </c>
      <c r="M74" s="147">
        <v>0.03</v>
      </c>
      <c r="N74" s="553"/>
      <c r="O74" s="553"/>
      <c r="P74" s="553"/>
      <c r="Q74" s="147"/>
      <c r="R74" s="520"/>
      <c r="S74" s="147"/>
      <c r="T74" s="147"/>
      <c r="U74" s="147"/>
      <c r="V74" s="588">
        <v>0.64</v>
      </c>
      <c r="W74" s="588">
        <v>0.27700000000000002</v>
      </c>
      <c r="X74" s="691">
        <v>0.9</v>
      </c>
      <c r="Y74" s="691">
        <v>0.9</v>
      </c>
      <c r="Z74" s="588">
        <v>4.9000000000000002E-2</v>
      </c>
      <c r="AA74" s="588"/>
      <c r="AB74" s="588"/>
      <c r="AC74" s="588"/>
      <c r="AD74" s="147"/>
      <c r="AE74" s="588"/>
      <c r="AF74" s="94"/>
      <c r="AG74" s="14"/>
      <c r="AH74" s="62"/>
      <c r="AI74" s="62"/>
      <c r="AJ74" s="14"/>
      <c r="AK74" s="62"/>
      <c r="AL74" s="14"/>
      <c r="AM74" s="14"/>
      <c r="AN74" s="14"/>
      <c r="AO74" s="14"/>
      <c r="AP74" s="14"/>
    </row>
    <row r="75" spans="1:51" x14ac:dyDescent="0.3">
      <c r="A75" s="50">
        <v>72</v>
      </c>
      <c r="B75" s="553"/>
      <c r="C75" s="553"/>
      <c r="D75" s="553"/>
      <c r="E75" s="50"/>
      <c r="F75" s="50"/>
      <c r="G75" s="50"/>
      <c r="H75" s="50"/>
      <c r="I75" s="50"/>
      <c r="J75" s="50"/>
      <c r="K75" s="588"/>
      <c r="L75" s="147">
        <v>0.11</v>
      </c>
      <c r="M75" s="147">
        <v>0.03</v>
      </c>
      <c r="N75" s="553"/>
      <c r="O75" s="553"/>
      <c r="P75" s="553"/>
      <c r="Q75" s="147"/>
      <c r="R75" s="520"/>
      <c r="S75" s="147"/>
      <c r="T75" s="147"/>
      <c r="U75" s="147"/>
      <c r="V75" s="588">
        <v>0.65</v>
      </c>
      <c r="W75" s="588">
        <v>0.27400000000000002</v>
      </c>
      <c r="X75" s="691">
        <v>0.9</v>
      </c>
      <c r="Y75" s="691">
        <v>0.9</v>
      </c>
      <c r="Z75" s="588">
        <v>4.8000000000000001E-2</v>
      </c>
      <c r="AA75" s="588"/>
      <c r="AB75" s="588"/>
      <c r="AC75" s="588"/>
      <c r="AD75" s="147"/>
      <c r="AE75" s="588"/>
      <c r="AF75" s="94"/>
      <c r="AG75" s="14"/>
      <c r="AH75" s="62"/>
      <c r="AI75" s="62"/>
      <c r="AJ75" s="14"/>
      <c r="AK75" s="62"/>
      <c r="AL75" s="14"/>
      <c r="AM75" s="14"/>
      <c r="AN75" s="14"/>
      <c r="AO75" s="14"/>
      <c r="AP75" s="14"/>
    </row>
    <row r="76" spans="1:51" x14ac:dyDescent="0.3">
      <c r="A76" s="50">
        <v>73</v>
      </c>
      <c r="B76" s="553"/>
      <c r="C76" s="553"/>
      <c r="D76" s="553"/>
      <c r="E76" s="50"/>
      <c r="F76" s="50"/>
      <c r="G76" s="50"/>
      <c r="H76" s="50"/>
      <c r="I76" s="50"/>
      <c r="J76" s="50"/>
      <c r="K76" s="588"/>
      <c r="L76" s="147">
        <v>0.11</v>
      </c>
      <c r="M76" s="147">
        <v>0.03</v>
      </c>
      <c r="N76" s="553"/>
      <c r="O76" s="553"/>
      <c r="P76" s="553"/>
      <c r="Q76" s="147"/>
      <c r="R76" s="520"/>
      <c r="S76" s="147"/>
      <c r="T76" s="147"/>
      <c r="U76" s="147"/>
      <c r="V76" s="588">
        <v>0.66</v>
      </c>
      <c r="W76" s="588">
        <v>0.27100000000000002</v>
      </c>
      <c r="X76" s="691">
        <v>0.9</v>
      </c>
      <c r="Y76" s="691">
        <v>0.9</v>
      </c>
      <c r="Z76" s="588">
        <v>4.7E-2</v>
      </c>
      <c r="AA76" s="588"/>
      <c r="AB76" s="588"/>
      <c r="AC76" s="588"/>
      <c r="AD76" s="147"/>
      <c r="AE76" s="588"/>
      <c r="AF76" s="94"/>
      <c r="AG76" s="14"/>
      <c r="AH76" s="62"/>
      <c r="AI76" s="62"/>
      <c r="AJ76" s="14"/>
      <c r="AK76" s="62"/>
      <c r="AL76" s="14"/>
      <c r="AM76" s="14"/>
      <c r="AN76" s="14"/>
      <c r="AO76" s="14"/>
      <c r="AP76" s="14"/>
    </row>
    <row r="77" spans="1:51" x14ac:dyDescent="0.3">
      <c r="A77" s="50">
        <v>74</v>
      </c>
      <c r="B77" s="553"/>
      <c r="C77" s="553"/>
      <c r="D77" s="553"/>
      <c r="E77" s="50"/>
      <c r="F77" s="50"/>
      <c r="G77" s="50"/>
      <c r="H77" s="50"/>
      <c r="I77" s="50"/>
      <c r="J77" s="50"/>
      <c r="K77" s="588"/>
      <c r="L77" s="147">
        <v>0.11</v>
      </c>
      <c r="M77" s="147">
        <v>0.03</v>
      </c>
      <c r="N77" s="553"/>
      <c r="O77" s="553"/>
      <c r="P77" s="553"/>
      <c r="Q77" s="147"/>
      <c r="R77" s="520"/>
      <c r="S77" s="147"/>
      <c r="T77" s="147"/>
      <c r="U77" s="147"/>
      <c r="V77" s="588">
        <v>0.67</v>
      </c>
      <c r="W77" s="588">
        <v>0.26800000000000002</v>
      </c>
      <c r="X77" s="691">
        <v>0.9</v>
      </c>
      <c r="Y77" s="691">
        <v>0.9</v>
      </c>
      <c r="Z77" s="588">
        <v>4.5999999999999999E-2</v>
      </c>
      <c r="AA77" s="588"/>
      <c r="AB77" s="588"/>
      <c r="AC77" s="588"/>
      <c r="AD77" s="147"/>
      <c r="AE77" s="588"/>
      <c r="AF77" s="94"/>
      <c r="AG77" s="14"/>
      <c r="AH77" s="62"/>
      <c r="AI77" s="62"/>
      <c r="AJ77" s="14"/>
      <c r="AK77" s="62"/>
      <c r="AL77" s="14"/>
      <c r="AM77" s="14"/>
      <c r="AN77" s="14"/>
      <c r="AO77" s="14"/>
      <c r="AP77" s="14"/>
    </row>
    <row r="78" spans="1:51" x14ac:dyDescent="0.3">
      <c r="A78" s="50">
        <v>75</v>
      </c>
      <c r="B78" s="553"/>
      <c r="C78" s="553"/>
      <c r="D78" s="553"/>
      <c r="E78" s="50"/>
      <c r="F78" s="50"/>
      <c r="G78" s="50"/>
      <c r="H78" s="50"/>
      <c r="I78" s="50"/>
      <c r="J78" s="50"/>
      <c r="K78" s="588"/>
      <c r="L78" s="147">
        <v>0.11</v>
      </c>
      <c r="M78" s="147">
        <v>0.03</v>
      </c>
      <c r="N78" s="553"/>
      <c r="O78" s="553"/>
      <c r="P78" s="553"/>
      <c r="Q78" s="147"/>
      <c r="R78" s="520"/>
      <c r="S78" s="147"/>
      <c r="T78" s="147"/>
      <c r="U78" s="147"/>
      <c r="V78" s="588">
        <v>0.68</v>
      </c>
      <c r="W78" s="588">
        <v>0.26500000000000001</v>
      </c>
      <c r="X78" s="691">
        <v>0.9</v>
      </c>
      <c r="Y78" s="691">
        <v>0.9</v>
      </c>
      <c r="Z78" s="588">
        <v>4.4999999999999998E-2</v>
      </c>
      <c r="AA78" s="588"/>
      <c r="AB78" s="588"/>
      <c r="AC78" s="588"/>
      <c r="AD78" s="147"/>
      <c r="AE78" s="588"/>
      <c r="AF78" s="94"/>
      <c r="AG78" s="14"/>
      <c r="AH78" s="62"/>
      <c r="AI78" s="62"/>
      <c r="AJ78" s="14"/>
      <c r="AK78" s="62"/>
      <c r="AL78" s="14"/>
      <c r="AM78" s="14"/>
      <c r="AN78" s="14"/>
      <c r="AO78" s="14"/>
      <c r="AP78" s="14"/>
    </row>
    <row r="79" spans="1:51" x14ac:dyDescent="0.3">
      <c r="A79" s="50">
        <v>76</v>
      </c>
      <c r="B79" s="553"/>
      <c r="C79" s="553"/>
      <c r="D79" s="553"/>
      <c r="E79" s="50"/>
      <c r="F79" s="50"/>
      <c r="G79" s="50"/>
      <c r="H79" s="50"/>
      <c r="I79" s="50"/>
      <c r="J79" s="50"/>
      <c r="K79" s="588"/>
      <c r="L79" s="147">
        <v>0.11</v>
      </c>
      <c r="M79" s="147">
        <v>0.03</v>
      </c>
      <c r="N79" s="553"/>
      <c r="O79" s="553"/>
      <c r="P79" s="553"/>
      <c r="Q79" s="147"/>
      <c r="R79" s="520"/>
      <c r="S79" s="147"/>
      <c r="T79" s="147"/>
      <c r="U79" s="147"/>
      <c r="V79" s="588">
        <v>0.68</v>
      </c>
      <c r="W79" s="588">
        <v>0.26200000000000001</v>
      </c>
      <c r="X79" s="691">
        <v>0.9</v>
      </c>
      <c r="Y79" s="691">
        <v>0.9</v>
      </c>
      <c r="Z79" s="588">
        <v>4.3999999999999997E-2</v>
      </c>
      <c r="AA79" s="588"/>
      <c r="AB79" s="588"/>
      <c r="AC79" s="588"/>
      <c r="AD79" s="147"/>
      <c r="AE79" s="588"/>
      <c r="AF79" s="94"/>
      <c r="AG79" s="14"/>
      <c r="AH79" s="62"/>
      <c r="AI79" s="62"/>
      <c r="AJ79" s="14"/>
      <c r="AK79" s="62"/>
      <c r="AL79" s="14"/>
      <c r="AM79" s="14"/>
      <c r="AN79" s="14"/>
      <c r="AO79" s="14"/>
      <c r="AP79" s="14"/>
    </row>
    <row r="80" spans="1:51" x14ac:dyDescent="0.3">
      <c r="A80" s="50">
        <v>77</v>
      </c>
      <c r="B80" s="553"/>
      <c r="C80" s="553"/>
      <c r="D80" s="553"/>
      <c r="E80" s="50"/>
      <c r="F80" s="50"/>
      <c r="G80" s="50"/>
      <c r="H80" s="50"/>
      <c r="I80" s="50"/>
      <c r="J80" s="50"/>
      <c r="K80" s="588"/>
      <c r="L80" s="147">
        <v>0.11</v>
      </c>
      <c r="M80" s="147">
        <v>0.03</v>
      </c>
      <c r="N80" s="553"/>
      <c r="O80" s="553"/>
      <c r="P80" s="553"/>
      <c r="Q80" s="147"/>
      <c r="R80" s="520"/>
      <c r="S80" s="147"/>
      <c r="T80" s="147"/>
      <c r="U80" s="147"/>
      <c r="V80" s="588">
        <v>0.69</v>
      </c>
      <c r="W80" s="588">
        <v>0.25900000000000001</v>
      </c>
      <c r="X80" s="691">
        <v>0.9</v>
      </c>
      <c r="Y80" s="691">
        <v>0.9</v>
      </c>
      <c r="Z80" s="588">
        <v>4.2999999999999997E-2</v>
      </c>
      <c r="AA80" s="588"/>
      <c r="AB80" s="588"/>
      <c r="AC80" s="588"/>
      <c r="AD80" s="147"/>
      <c r="AE80" s="588"/>
      <c r="AF80" s="94"/>
      <c r="AG80" s="14"/>
      <c r="AH80" s="62"/>
      <c r="AI80" s="62"/>
      <c r="AJ80" s="14"/>
      <c r="AK80" s="62"/>
      <c r="AL80" s="14"/>
      <c r="AM80" s="14"/>
      <c r="AN80" s="14"/>
      <c r="AO80" s="14"/>
      <c r="AP80" s="14"/>
    </row>
    <row r="81" spans="1:42" x14ac:dyDescent="0.3">
      <c r="A81" s="50">
        <v>78</v>
      </c>
      <c r="B81" s="553"/>
      <c r="C81" s="553"/>
      <c r="D81" s="553"/>
      <c r="E81" s="50"/>
      <c r="F81" s="50"/>
      <c r="G81" s="50"/>
      <c r="H81" s="50"/>
      <c r="I81" s="50"/>
      <c r="J81" s="50"/>
      <c r="K81" s="588"/>
      <c r="L81" s="147">
        <v>0.11</v>
      </c>
      <c r="M81" s="147">
        <v>0.03</v>
      </c>
      <c r="N81" s="553"/>
      <c r="O81" s="553"/>
      <c r="P81" s="553"/>
      <c r="Q81" s="147"/>
      <c r="R81" s="520"/>
      <c r="S81" s="147"/>
      <c r="T81" s="147"/>
      <c r="U81" s="147"/>
      <c r="V81" s="588">
        <v>0.7</v>
      </c>
      <c r="W81" s="588">
        <v>0.25600000000000001</v>
      </c>
      <c r="X81" s="691">
        <v>0.9</v>
      </c>
      <c r="Y81" s="691">
        <v>0.9</v>
      </c>
      <c r="Z81" s="588">
        <v>4.2000000000000003E-2</v>
      </c>
      <c r="AA81" s="588"/>
      <c r="AB81" s="588"/>
      <c r="AC81" s="588"/>
      <c r="AD81" s="147"/>
      <c r="AE81" s="588"/>
      <c r="AF81" s="94"/>
      <c r="AG81" s="14"/>
      <c r="AH81" s="62"/>
      <c r="AI81" s="62"/>
      <c r="AJ81" s="14"/>
      <c r="AK81" s="62"/>
      <c r="AL81" s="14"/>
      <c r="AM81" s="14"/>
      <c r="AN81" s="14"/>
      <c r="AO81" s="14"/>
      <c r="AP81" s="14"/>
    </row>
    <row r="82" spans="1:42" x14ac:dyDescent="0.3">
      <c r="A82" s="50">
        <v>79</v>
      </c>
      <c r="B82" s="553"/>
      <c r="C82" s="553"/>
      <c r="D82" s="553"/>
      <c r="E82" s="50"/>
      <c r="F82" s="50"/>
      <c r="G82" s="50"/>
      <c r="H82" s="50"/>
      <c r="I82" s="50"/>
      <c r="J82" s="50"/>
      <c r="K82" s="588"/>
      <c r="L82" s="147">
        <v>0.12</v>
      </c>
      <c r="M82" s="147">
        <v>0.03</v>
      </c>
      <c r="N82" s="553"/>
      <c r="O82" s="553"/>
      <c r="P82" s="553"/>
      <c r="Q82" s="147"/>
      <c r="R82" s="520"/>
      <c r="S82" s="147"/>
      <c r="T82" s="147"/>
      <c r="U82" s="147"/>
      <c r="V82" s="588">
        <v>0.71</v>
      </c>
      <c r="W82" s="588">
        <v>0.253</v>
      </c>
      <c r="X82" s="691">
        <v>0.9</v>
      </c>
      <c r="Y82" s="691">
        <v>0.9</v>
      </c>
      <c r="Z82" s="588">
        <v>4.1000000000000002E-2</v>
      </c>
      <c r="AA82" s="588"/>
      <c r="AB82" s="588"/>
      <c r="AC82" s="588"/>
      <c r="AD82" s="147"/>
      <c r="AE82" s="588"/>
      <c r="AF82" s="94"/>
      <c r="AG82" s="14"/>
      <c r="AH82" s="62"/>
      <c r="AI82" s="62"/>
      <c r="AJ82" s="14"/>
      <c r="AK82" s="62"/>
      <c r="AL82" s="14"/>
      <c r="AM82" s="14"/>
      <c r="AN82" s="14"/>
      <c r="AO82" s="14"/>
      <c r="AP82" s="14"/>
    </row>
    <row r="83" spans="1:42" x14ac:dyDescent="0.3">
      <c r="A83" s="50">
        <v>80</v>
      </c>
      <c r="B83" s="553"/>
      <c r="C83" s="553"/>
      <c r="D83" s="553"/>
      <c r="E83" s="50"/>
      <c r="F83" s="50"/>
      <c r="G83" s="50"/>
      <c r="H83" s="50"/>
      <c r="I83" s="50"/>
      <c r="J83" s="50"/>
      <c r="K83" s="588"/>
      <c r="L83" s="147">
        <v>0.12</v>
      </c>
      <c r="M83" s="147">
        <v>0.03</v>
      </c>
      <c r="N83" s="553"/>
      <c r="O83" s="553"/>
      <c r="P83" s="553"/>
      <c r="Q83" s="147"/>
      <c r="R83" s="520"/>
      <c r="S83" s="147"/>
      <c r="T83" s="147"/>
      <c r="U83" s="147"/>
      <c r="V83" s="588">
        <v>0.72</v>
      </c>
      <c r="W83" s="588">
        <v>0.25</v>
      </c>
      <c r="X83" s="691">
        <v>0.9</v>
      </c>
      <c r="Y83" s="691">
        <v>0.9</v>
      </c>
      <c r="Z83" s="588">
        <v>0.04</v>
      </c>
      <c r="AA83" s="588"/>
      <c r="AB83" s="588"/>
      <c r="AC83" s="588"/>
      <c r="AD83" s="147"/>
      <c r="AE83" s="588"/>
      <c r="AF83" s="94"/>
      <c r="AG83" s="14"/>
      <c r="AH83" s="62"/>
      <c r="AI83" s="62"/>
      <c r="AJ83" s="14"/>
      <c r="AK83" s="62"/>
      <c r="AL83" s="14"/>
      <c r="AM83" s="14"/>
      <c r="AN83" s="14"/>
      <c r="AO83" s="14"/>
      <c r="AP83" s="14"/>
    </row>
    <row r="84" spans="1:42" x14ac:dyDescent="0.3">
      <c r="A84" s="50">
        <v>81</v>
      </c>
      <c r="B84" s="50"/>
      <c r="C84" s="50"/>
      <c r="D84" s="50"/>
      <c r="E84" s="50"/>
      <c r="F84" s="50"/>
      <c r="G84" s="50"/>
      <c r="H84" s="50"/>
      <c r="I84" s="50"/>
      <c r="J84" s="50"/>
      <c r="K84" s="588"/>
      <c r="L84" s="147">
        <v>0.12</v>
      </c>
      <c r="M84" s="147">
        <v>0.03</v>
      </c>
      <c r="N84" s="553"/>
      <c r="O84" s="553"/>
      <c r="P84" s="553"/>
      <c r="Q84" s="147"/>
      <c r="R84" s="520"/>
      <c r="S84" s="147"/>
      <c r="T84" s="147"/>
      <c r="U84" s="147"/>
      <c r="V84" s="588">
        <v>0.73</v>
      </c>
      <c r="W84" s="588">
        <v>0.246</v>
      </c>
      <c r="X84" s="691">
        <v>0.9</v>
      </c>
      <c r="Y84" s="691">
        <v>0.9</v>
      </c>
      <c r="Z84" s="588">
        <v>3.7999999999999999E-2</v>
      </c>
      <c r="AA84" s="588"/>
      <c r="AB84" s="588"/>
      <c r="AC84" s="588"/>
      <c r="AD84" s="147"/>
      <c r="AE84" s="588"/>
      <c r="AF84" s="94"/>
      <c r="AG84" s="14"/>
      <c r="AH84" s="62"/>
      <c r="AI84" s="62"/>
      <c r="AJ84" s="14"/>
      <c r="AK84" s="62"/>
      <c r="AL84" s="14"/>
      <c r="AM84" s="14"/>
      <c r="AN84" s="14"/>
      <c r="AO84" s="14"/>
      <c r="AP84" s="14"/>
    </row>
    <row r="85" spans="1:42" x14ac:dyDescent="0.3">
      <c r="A85" s="50">
        <v>82</v>
      </c>
      <c r="B85" s="50"/>
      <c r="C85" s="50"/>
      <c r="D85" s="50"/>
      <c r="E85" s="50"/>
      <c r="F85" s="50"/>
      <c r="G85" s="50"/>
      <c r="H85" s="50"/>
      <c r="I85" s="50"/>
      <c r="J85" s="50"/>
      <c r="K85" s="588"/>
      <c r="L85" s="147">
        <v>0.12</v>
      </c>
      <c r="M85" s="147">
        <v>0.03</v>
      </c>
      <c r="N85" s="553"/>
      <c r="O85" s="553"/>
      <c r="P85" s="553"/>
      <c r="Q85" s="147"/>
      <c r="R85" s="520"/>
      <c r="S85" s="147"/>
      <c r="T85" s="147"/>
      <c r="U85" s="147"/>
      <c r="V85" s="588">
        <v>0.74</v>
      </c>
      <c r="W85" s="588">
        <v>0.24199999999999999</v>
      </c>
      <c r="X85" s="691">
        <v>0.9</v>
      </c>
      <c r="Y85" s="691">
        <v>0.9</v>
      </c>
      <c r="Z85" s="588">
        <v>3.5999999999999997E-2</v>
      </c>
      <c r="AA85" s="588"/>
      <c r="AB85" s="588"/>
      <c r="AC85" s="588"/>
      <c r="AD85" s="147"/>
      <c r="AE85" s="588"/>
      <c r="AF85" s="94"/>
      <c r="AG85" s="14"/>
      <c r="AH85" s="62"/>
      <c r="AI85" s="62"/>
      <c r="AJ85" s="14"/>
      <c r="AK85" s="62"/>
      <c r="AL85" s="14"/>
      <c r="AM85" s="14"/>
      <c r="AN85" s="14"/>
      <c r="AO85" s="14"/>
      <c r="AP85" s="14"/>
    </row>
    <row r="86" spans="1:42" x14ac:dyDescent="0.3">
      <c r="A86" s="50">
        <v>83</v>
      </c>
      <c r="B86" s="50"/>
      <c r="C86" s="50"/>
      <c r="D86" s="50"/>
      <c r="E86" s="50"/>
      <c r="F86" s="50"/>
      <c r="G86" s="50"/>
      <c r="H86" s="50"/>
      <c r="I86" s="50"/>
      <c r="J86" s="50"/>
      <c r="K86" s="588"/>
      <c r="L86" s="147">
        <v>0.12</v>
      </c>
      <c r="M86" s="147">
        <v>0.03</v>
      </c>
      <c r="N86" s="553"/>
      <c r="O86" s="553"/>
      <c r="P86" s="553"/>
      <c r="Q86" s="147"/>
      <c r="R86" s="520"/>
      <c r="S86" s="147"/>
      <c r="T86" s="147"/>
      <c r="U86" s="147"/>
      <c r="V86" s="588">
        <v>0.75</v>
      </c>
      <c r="W86" s="588">
        <v>0.23799999999999999</v>
      </c>
      <c r="X86" s="691">
        <v>0.9</v>
      </c>
      <c r="Y86" s="691">
        <v>0.9</v>
      </c>
      <c r="Z86" s="588">
        <v>3.4000000000000002E-2</v>
      </c>
      <c r="AA86" s="588"/>
      <c r="AB86" s="588"/>
      <c r="AC86" s="588"/>
      <c r="AD86" s="147"/>
      <c r="AE86" s="588"/>
      <c r="AF86" s="94"/>
      <c r="AG86" s="14"/>
      <c r="AH86" s="62"/>
      <c r="AI86" s="62"/>
      <c r="AJ86" s="14"/>
      <c r="AK86" s="62"/>
      <c r="AL86" s="14"/>
      <c r="AM86" s="14"/>
      <c r="AN86" s="14"/>
      <c r="AO86" s="14"/>
      <c r="AP86" s="14"/>
    </row>
    <row r="87" spans="1:42" x14ac:dyDescent="0.3">
      <c r="A87" s="50">
        <v>84</v>
      </c>
      <c r="B87" s="50"/>
      <c r="C87" s="50"/>
      <c r="D87" s="50"/>
      <c r="E87" s="50"/>
      <c r="F87" s="50"/>
      <c r="G87" s="50"/>
      <c r="H87" s="50"/>
      <c r="I87" s="50"/>
      <c r="J87" s="50"/>
      <c r="K87" s="588"/>
      <c r="L87" s="147">
        <v>0.12</v>
      </c>
      <c r="M87" s="147">
        <v>0.03</v>
      </c>
      <c r="N87" s="553"/>
      <c r="O87" s="553"/>
      <c r="P87" s="553"/>
      <c r="Q87" s="147"/>
      <c r="R87" s="520"/>
      <c r="S87" s="147"/>
      <c r="T87" s="147"/>
      <c r="U87" s="147"/>
      <c r="V87" s="588">
        <v>0.76</v>
      </c>
      <c r="W87" s="588">
        <v>0.23400000000000001</v>
      </c>
      <c r="X87" s="691">
        <v>0.9</v>
      </c>
      <c r="Y87" s="691">
        <v>0.9</v>
      </c>
      <c r="Z87" s="588">
        <v>3.2000000000000001E-2</v>
      </c>
      <c r="AA87" s="588"/>
      <c r="AB87" s="588"/>
      <c r="AC87" s="588"/>
      <c r="AD87" s="147"/>
      <c r="AE87" s="588"/>
      <c r="AF87" s="94"/>
      <c r="AG87" s="14"/>
      <c r="AH87" s="62"/>
      <c r="AI87" s="62"/>
      <c r="AJ87" s="14"/>
      <c r="AK87" s="62"/>
      <c r="AL87" s="14"/>
      <c r="AM87" s="14"/>
      <c r="AN87" s="14"/>
      <c r="AO87" s="14"/>
      <c r="AP87" s="14"/>
    </row>
    <row r="88" spans="1:42" x14ac:dyDescent="0.3">
      <c r="A88" s="50">
        <v>85</v>
      </c>
      <c r="B88" s="50"/>
      <c r="C88" s="50"/>
      <c r="D88" s="50"/>
      <c r="E88" s="50"/>
      <c r="F88" s="50"/>
      <c r="G88" s="50"/>
      <c r="H88" s="50"/>
      <c r="I88" s="50"/>
      <c r="J88" s="50"/>
      <c r="K88" s="588"/>
      <c r="L88" s="147">
        <v>0.12</v>
      </c>
      <c r="M88" s="147">
        <v>0.03</v>
      </c>
      <c r="N88" s="553"/>
      <c r="O88" s="553"/>
      <c r="P88" s="553"/>
      <c r="Q88" s="147"/>
      <c r="R88" s="520"/>
      <c r="S88" s="147"/>
      <c r="T88" s="147"/>
      <c r="U88" s="147"/>
      <c r="V88" s="588">
        <v>0.77</v>
      </c>
      <c r="W88" s="588">
        <v>0.23</v>
      </c>
      <c r="X88" s="691">
        <v>0.9</v>
      </c>
      <c r="Y88" s="691">
        <v>0.9</v>
      </c>
      <c r="Z88" s="588">
        <v>0.03</v>
      </c>
      <c r="AA88" s="588"/>
      <c r="AB88" s="588"/>
      <c r="AC88" s="588"/>
      <c r="AD88" s="147"/>
      <c r="AE88" s="588"/>
      <c r="AF88" s="94"/>
      <c r="AG88" s="14"/>
      <c r="AH88" s="62"/>
      <c r="AI88" s="62"/>
      <c r="AJ88" s="14"/>
      <c r="AK88" s="62"/>
      <c r="AL88" s="14"/>
      <c r="AM88" s="14"/>
      <c r="AN88" s="14"/>
      <c r="AO88" s="14"/>
      <c r="AP88" s="14"/>
    </row>
    <row r="89" spans="1:42" x14ac:dyDescent="0.3">
      <c r="A89" s="50">
        <v>86</v>
      </c>
      <c r="B89" s="50"/>
      <c r="C89" s="50"/>
      <c r="D89" s="50"/>
      <c r="E89" s="50"/>
      <c r="F89" s="50"/>
      <c r="G89" s="50"/>
      <c r="H89" s="50"/>
      <c r="I89" s="50"/>
      <c r="J89" s="50"/>
      <c r="K89" s="588"/>
      <c r="L89" s="147">
        <v>0.13</v>
      </c>
      <c r="M89" s="147">
        <v>0.03</v>
      </c>
      <c r="N89" s="553"/>
      <c r="O89" s="553"/>
      <c r="P89" s="553"/>
      <c r="Q89" s="147"/>
      <c r="R89" s="520"/>
      <c r="S89" s="147"/>
      <c r="T89" s="147"/>
      <c r="U89" s="147"/>
      <c r="V89" s="588">
        <v>0.77</v>
      </c>
      <c r="W89" s="588">
        <v>0.22600000000000001</v>
      </c>
      <c r="X89" s="691">
        <v>0.9</v>
      </c>
      <c r="Y89" s="691">
        <v>0.9</v>
      </c>
      <c r="Z89" s="588">
        <v>2.8000000000000001E-2</v>
      </c>
      <c r="AA89" s="588"/>
      <c r="AB89" s="588"/>
      <c r="AC89" s="588"/>
      <c r="AD89" s="147"/>
      <c r="AE89" s="588"/>
      <c r="AF89" s="94"/>
      <c r="AG89" s="14"/>
      <c r="AH89" s="62"/>
      <c r="AI89" s="62"/>
      <c r="AJ89" s="14"/>
      <c r="AK89" s="62"/>
      <c r="AL89" s="14"/>
      <c r="AM89" s="14"/>
      <c r="AN89" s="14"/>
      <c r="AO89" s="14"/>
      <c r="AP89" s="14"/>
    </row>
    <row r="90" spans="1:42" x14ac:dyDescent="0.3">
      <c r="A90" s="50">
        <v>87</v>
      </c>
      <c r="B90" s="50"/>
      <c r="C90" s="50"/>
      <c r="D90" s="50"/>
      <c r="E90" s="50"/>
      <c r="F90" s="50"/>
      <c r="G90" s="50"/>
      <c r="H90" s="50"/>
      <c r="I90" s="50"/>
      <c r="J90" s="50"/>
      <c r="K90" s="588"/>
      <c r="L90" s="147">
        <v>0.13</v>
      </c>
      <c r="M90" s="147">
        <v>0.03</v>
      </c>
      <c r="N90" s="553"/>
      <c r="O90" s="553"/>
      <c r="P90" s="553"/>
      <c r="Q90" s="147"/>
      <c r="R90" s="520"/>
      <c r="S90" s="147"/>
      <c r="T90" s="147"/>
      <c r="U90" s="147"/>
      <c r="V90" s="588">
        <v>0.78</v>
      </c>
      <c r="W90" s="588">
        <v>0.222</v>
      </c>
      <c r="X90" s="691">
        <v>0.9</v>
      </c>
      <c r="Y90" s="691">
        <v>0.9</v>
      </c>
      <c r="Z90" s="588">
        <v>2.5999999999999999E-2</v>
      </c>
      <c r="AA90" s="588"/>
      <c r="AB90" s="588"/>
      <c r="AC90" s="588"/>
      <c r="AD90" s="147"/>
      <c r="AE90" s="588"/>
      <c r="AF90" s="94"/>
      <c r="AG90" s="14"/>
      <c r="AH90" s="62"/>
      <c r="AI90" s="62"/>
      <c r="AJ90" s="14"/>
      <c r="AK90" s="62"/>
      <c r="AL90" s="14"/>
      <c r="AM90" s="14"/>
      <c r="AN90" s="14"/>
      <c r="AO90" s="14"/>
      <c r="AP90" s="14"/>
    </row>
    <row r="91" spans="1:42" x14ac:dyDescent="0.3">
      <c r="A91" s="50">
        <v>88</v>
      </c>
      <c r="B91" s="50"/>
      <c r="C91" s="50"/>
      <c r="D91" s="50"/>
      <c r="E91" s="50"/>
      <c r="F91" s="50"/>
      <c r="G91" s="50"/>
      <c r="H91" s="50"/>
      <c r="I91" s="50"/>
      <c r="J91" s="50"/>
      <c r="K91" s="588"/>
      <c r="L91" s="147">
        <v>0.13</v>
      </c>
      <c r="M91" s="147">
        <v>0.03</v>
      </c>
      <c r="N91" s="553"/>
      <c r="O91" s="553"/>
      <c r="P91" s="553"/>
      <c r="Q91" s="147"/>
      <c r="R91" s="520"/>
      <c r="S91" s="147"/>
      <c r="T91" s="147"/>
      <c r="U91" s="147"/>
      <c r="V91" s="588">
        <v>0.79</v>
      </c>
      <c r="W91" s="588">
        <v>0.218</v>
      </c>
      <c r="X91" s="691">
        <v>0.9</v>
      </c>
      <c r="Y91" s="691">
        <v>0.9</v>
      </c>
      <c r="Z91" s="588">
        <v>2.4E-2</v>
      </c>
      <c r="AA91" s="588"/>
      <c r="AB91" s="588"/>
      <c r="AC91" s="588"/>
      <c r="AD91" s="147"/>
      <c r="AE91" s="588"/>
      <c r="AF91" s="94"/>
      <c r="AG91" s="14"/>
      <c r="AH91" s="62"/>
      <c r="AI91" s="62"/>
      <c r="AJ91" s="14"/>
      <c r="AK91" s="62"/>
      <c r="AL91" s="14"/>
      <c r="AM91" s="14"/>
      <c r="AN91" s="14"/>
      <c r="AO91" s="14"/>
      <c r="AP91" s="14"/>
    </row>
    <row r="92" spans="1:42" x14ac:dyDescent="0.3">
      <c r="A92" s="50">
        <v>89</v>
      </c>
      <c r="B92" s="50"/>
      <c r="C92" s="50"/>
      <c r="D92" s="50"/>
      <c r="E92" s="50"/>
      <c r="F92" s="50"/>
      <c r="G92" s="50"/>
      <c r="H92" s="50"/>
      <c r="I92" s="50"/>
      <c r="J92" s="50"/>
      <c r="K92" s="588"/>
      <c r="L92" s="147">
        <v>0.13</v>
      </c>
      <c r="M92" s="147">
        <v>0.03</v>
      </c>
      <c r="N92" s="553"/>
      <c r="O92" s="553"/>
      <c r="P92" s="553"/>
      <c r="Q92" s="147"/>
      <c r="R92" s="520"/>
      <c r="S92" s="147"/>
      <c r="T92" s="147"/>
      <c r="U92" s="147"/>
      <c r="V92" s="588">
        <v>0.8</v>
      </c>
      <c r="W92" s="588">
        <v>0.214</v>
      </c>
      <c r="X92" s="691">
        <v>0.9</v>
      </c>
      <c r="Y92" s="691">
        <v>0.9</v>
      </c>
      <c r="Z92" s="588">
        <v>2.1999999999999999E-2</v>
      </c>
      <c r="AA92" s="588"/>
      <c r="AB92" s="588"/>
      <c r="AC92" s="588"/>
      <c r="AD92" s="147"/>
      <c r="AE92" s="588"/>
      <c r="AF92" s="94"/>
      <c r="AG92" s="14"/>
      <c r="AH92" s="62"/>
      <c r="AI92" s="62"/>
      <c r="AJ92" s="14"/>
      <c r="AK92" s="62"/>
      <c r="AL92" s="14"/>
      <c r="AM92" s="14"/>
      <c r="AN92" s="14"/>
      <c r="AO92" s="14"/>
      <c r="AP92" s="14"/>
    </row>
    <row r="93" spans="1:42" x14ac:dyDescent="0.3">
      <c r="A93" s="50">
        <v>90</v>
      </c>
      <c r="B93" s="50"/>
      <c r="C93" s="50"/>
      <c r="D93" s="50"/>
      <c r="E93" s="50"/>
      <c r="F93" s="50"/>
      <c r="G93" s="50"/>
      <c r="H93" s="50"/>
      <c r="I93" s="50"/>
      <c r="J93" s="50"/>
      <c r="K93" s="588"/>
      <c r="L93" s="147">
        <v>0.13</v>
      </c>
      <c r="M93" s="147">
        <v>0.03</v>
      </c>
      <c r="N93" s="553"/>
      <c r="O93" s="553"/>
      <c r="P93" s="553"/>
      <c r="Q93" s="147"/>
      <c r="R93" s="520"/>
      <c r="S93" s="147"/>
      <c r="T93" s="147"/>
      <c r="U93" s="147"/>
      <c r="V93" s="588">
        <v>0.81</v>
      </c>
      <c r="W93" s="588">
        <v>0.21</v>
      </c>
      <c r="X93" s="691">
        <v>0.9</v>
      </c>
      <c r="Y93" s="691">
        <v>0.9</v>
      </c>
      <c r="Z93" s="588">
        <v>0.02</v>
      </c>
      <c r="AA93" s="588"/>
      <c r="AB93" s="588"/>
      <c r="AC93" s="588"/>
      <c r="AD93" s="147"/>
      <c r="AE93" s="588"/>
      <c r="AF93" s="94"/>
      <c r="AG93" s="14"/>
      <c r="AH93" s="62"/>
      <c r="AI93" s="62"/>
      <c r="AJ93" s="14"/>
      <c r="AK93" s="62"/>
      <c r="AL93" s="14"/>
      <c r="AM93" s="14"/>
      <c r="AN93" s="14"/>
      <c r="AO93" s="14"/>
      <c r="AP93" s="14"/>
    </row>
    <row r="94" spans="1:42" x14ac:dyDescent="0.3">
      <c r="A94" s="50">
        <v>91</v>
      </c>
      <c r="B94" s="50"/>
      <c r="C94" s="50"/>
      <c r="D94" s="50"/>
      <c r="E94" s="50"/>
      <c r="F94" s="50"/>
      <c r="G94" s="50"/>
      <c r="H94" s="50"/>
      <c r="I94" s="50"/>
      <c r="J94" s="50"/>
      <c r="K94" s="588"/>
      <c r="L94" s="147">
        <v>0.13</v>
      </c>
      <c r="M94" s="147">
        <v>0.03</v>
      </c>
      <c r="N94" s="50"/>
      <c r="O94" s="50"/>
      <c r="P94" s="50"/>
      <c r="Q94" s="147"/>
      <c r="R94" s="520"/>
      <c r="S94" s="147"/>
      <c r="T94" s="147"/>
      <c r="U94" s="147"/>
      <c r="V94" s="588">
        <v>0.82</v>
      </c>
      <c r="W94" s="588">
        <v>0.20699999999999999</v>
      </c>
      <c r="X94" s="691">
        <v>0.9</v>
      </c>
      <c r="Y94" s="691">
        <v>0.9</v>
      </c>
      <c r="Z94" s="588">
        <v>1.7999999999999999E-2</v>
      </c>
      <c r="AA94" s="588"/>
      <c r="AB94" s="588"/>
      <c r="AC94" s="588"/>
      <c r="AD94" s="147"/>
      <c r="AE94" s="588"/>
      <c r="AF94" s="94"/>
      <c r="AG94" s="14"/>
      <c r="AH94" s="62"/>
      <c r="AI94" s="62"/>
      <c r="AJ94" s="14"/>
      <c r="AK94" s="62"/>
      <c r="AL94" s="14"/>
      <c r="AM94" s="14"/>
      <c r="AN94" s="14"/>
      <c r="AO94" s="14"/>
      <c r="AP94" s="14"/>
    </row>
    <row r="95" spans="1:42" x14ac:dyDescent="0.3">
      <c r="A95" s="50">
        <v>92</v>
      </c>
      <c r="B95" s="50"/>
      <c r="C95" s="50"/>
      <c r="D95" s="50"/>
      <c r="E95" s="50"/>
      <c r="F95" s="50"/>
      <c r="G95" s="50"/>
      <c r="H95" s="50"/>
      <c r="I95" s="50"/>
      <c r="J95" s="50"/>
      <c r="K95" s="588"/>
      <c r="L95" s="147">
        <v>0.13</v>
      </c>
      <c r="M95" s="147">
        <v>0.03</v>
      </c>
      <c r="N95" s="50"/>
      <c r="O95" s="50"/>
      <c r="P95" s="50"/>
      <c r="Q95" s="147"/>
      <c r="R95" s="520"/>
      <c r="S95" s="147"/>
      <c r="T95" s="147"/>
      <c r="U95" s="147"/>
      <c r="V95" s="588">
        <v>0.83</v>
      </c>
      <c r="W95" s="588">
        <v>0.20399999999999999</v>
      </c>
      <c r="X95" s="691">
        <v>0.9</v>
      </c>
      <c r="Y95" s="691">
        <v>0.9</v>
      </c>
      <c r="Z95" s="588">
        <v>1.6E-2</v>
      </c>
      <c r="AA95" s="588"/>
      <c r="AB95" s="588"/>
      <c r="AC95" s="588"/>
      <c r="AD95" s="147"/>
      <c r="AE95" s="588"/>
      <c r="AF95" s="94"/>
      <c r="AG95" s="14"/>
      <c r="AH95" s="62"/>
      <c r="AI95" s="62"/>
      <c r="AJ95" s="14"/>
      <c r="AK95" s="62"/>
      <c r="AL95" s="14"/>
      <c r="AM95" s="14"/>
      <c r="AN95" s="14"/>
      <c r="AO95" s="14"/>
      <c r="AP95" s="14"/>
    </row>
    <row r="96" spans="1:42" x14ac:dyDescent="0.3">
      <c r="A96" s="50">
        <v>93</v>
      </c>
      <c r="B96" s="50"/>
      <c r="C96" s="50"/>
      <c r="D96" s="50"/>
      <c r="E96" s="50"/>
      <c r="F96" s="50"/>
      <c r="G96" s="50"/>
      <c r="H96" s="50"/>
      <c r="I96" s="50"/>
      <c r="J96" s="50"/>
      <c r="K96" s="588"/>
      <c r="L96" s="147">
        <v>0.14000000000000001</v>
      </c>
      <c r="M96" s="147">
        <v>0.03</v>
      </c>
      <c r="N96" s="50"/>
      <c r="O96" s="50"/>
      <c r="P96" s="50"/>
      <c r="Q96" s="147"/>
      <c r="R96" s="520"/>
      <c r="S96" s="147"/>
      <c r="T96" s="147"/>
      <c r="U96" s="147"/>
      <c r="V96" s="588">
        <v>0.84</v>
      </c>
      <c r="W96" s="588">
        <v>0.20100000000000001</v>
      </c>
      <c r="X96" s="691">
        <v>0.9</v>
      </c>
      <c r="Y96" s="691">
        <v>0.9</v>
      </c>
      <c r="Z96" s="588">
        <v>1.4E-2</v>
      </c>
      <c r="AA96" s="588"/>
      <c r="AB96" s="588"/>
      <c r="AC96" s="588"/>
      <c r="AD96" s="147"/>
      <c r="AE96" s="588"/>
      <c r="AF96" s="94"/>
      <c r="AG96" s="14"/>
      <c r="AH96" s="62"/>
      <c r="AI96" s="62"/>
      <c r="AJ96" s="14"/>
      <c r="AK96" s="62"/>
      <c r="AL96" s="14"/>
      <c r="AM96" s="14"/>
      <c r="AN96" s="14"/>
      <c r="AO96" s="14"/>
      <c r="AP96" s="14"/>
    </row>
    <row r="97" spans="1:42" x14ac:dyDescent="0.3">
      <c r="A97" s="50">
        <v>94</v>
      </c>
      <c r="B97" s="50"/>
      <c r="C97" s="50"/>
      <c r="D97" s="50"/>
      <c r="E97" s="50"/>
      <c r="F97" s="50"/>
      <c r="G97" s="50"/>
      <c r="H97" s="50"/>
      <c r="I97" s="50"/>
      <c r="J97" s="50"/>
      <c r="K97" s="588"/>
      <c r="L97" s="147">
        <v>0.14000000000000001</v>
      </c>
      <c r="M97" s="147">
        <v>0.03</v>
      </c>
      <c r="N97" s="50"/>
      <c r="O97" s="50"/>
      <c r="P97" s="50"/>
      <c r="Q97" s="147"/>
      <c r="R97" s="520"/>
      <c r="S97" s="147"/>
      <c r="T97" s="147"/>
      <c r="U97" s="147"/>
      <c r="V97" s="588">
        <v>0.85</v>
      </c>
      <c r="W97" s="588">
        <v>0.19800000000000001</v>
      </c>
      <c r="X97" s="691">
        <v>0.9</v>
      </c>
      <c r="Y97" s="691">
        <v>0.9</v>
      </c>
      <c r="Z97" s="588">
        <v>1.2E-2</v>
      </c>
      <c r="AA97" s="588"/>
      <c r="AB97" s="588"/>
      <c r="AC97" s="588"/>
      <c r="AD97" s="147"/>
      <c r="AE97" s="588"/>
      <c r="AF97" s="94"/>
      <c r="AG97" s="14"/>
      <c r="AH97" s="62"/>
      <c r="AI97" s="62"/>
      <c r="AJ97" s="14"/>
      <c r="AK97" s="62"/>
      <c r="AL97" s="14"/>
      <c r="AM97" s="14"/>
      <c r="AN97" s="14"/>
      <c r="AO97" s="14"/>
      <c r="AP97" s="14"/>
    </row>
    <row r="98" spans="1:42" x14ac:dyDescent="0.3">
      <c r="A98" s="50">
        <v>95</v>
      </c>
      <c r="B98" s="50"/>
      <c r="C98" s="50"/>
      <c r="D98" s="50"/>
      <c r="E98" s="50"/>
      <c r="F98" s="50"/>
      <c r="G98" s="50"/>
      <c r="H98" s="50"/>
      <c r="I98" s="50"/>
      <c r="J98" s="50"/>
      <c r="K98" s="588"/>
      <c r="L98" s="147">
        <v>0.14000000000000001</v>
      </c>
      <c r="M98" s="147">
        <v>0.03</v>
      </c>
      <c r="N98" s="50"/>
      <c r="O98" s="50"/>
      <c r="P98" s="50"/>
      <c r="Q98" s="147"/>
      <c r="R98" s="520"/>
      <c r="S98" s="147"/>
      <c r="T98" s="147"/>
      <c r="U98" s="147"/>
      <c r="V98" s="588">
        <v>0.86</v>
      </c>
      <c r="W98" s="588">
        <v>0.19500000000000001</v>
      </c>
      <c r="X98" s="691">
        <v>0.9</v>
      </c>
      <c r="Y98" s="691">
        <v>0.9</v>
      </c>
      <c r="Z98" s="588">
        <v>0.01</v>
      </c>
      <c r="AA98" s="588"/>
      <c r="AB98" s="588"/>
      <c r="AC98" s="588"/>
      <c r="AD98" s="147"/>
      <c r="AE98" s="588"/>
      <c r="AF98" s="94"/>
      <c r="AG98" s="14"/>
      <c r="AH98" s="62"/>
      <c r="AI98" s="62"/>
      <c r="AJ98" s="14"/>
      <c r="AK98" s="62"/>
      <c r="AL98" s="14"/>
      <c r="AM98" s="14"/>
      <c r="AN98" s="14"/>
      <c r="AO98" s="14"/>
      <c r="AP98" s="14"/>
    </row>
    <row r="99" spans="1:42" x14ac:dyDescent="0.3">
      <c r="A99" s="50">
        <v>96</v>
      </c>
      <c r="B99" s="50"/>
      <c r="C99" s="50"/>
      <c r="D99" s="50"/>
      <c r="E99" s="50"/>
      <c r="F99" s="50"/>
      <c r="G99" s="50"/>
      <c r="H99" s="50"/>
      <c r="I99" s="50"/>
      <c r="J99" s="50"/>
      <c r="K99" s="588"/>
      <c r="L99" s="147">
        <v>0.14000000000000001</v>
      </c>
      <c r="M99" s="147">
        <v>0.03</v>
      </c>
      <c r="N99" s="50"/>
      <c r="O99" s="50"/>
      <c r="P99" s="50"/>
      <c r="Q99" s="147"/>
      <c r="R99" s="520"/>
      <c r="S99" s="147"/>
      <c r="T99" s="147"/>
      <c r="U99" s="147"/>
      <c r="V99" s="588">
        <v>0.86</v>
      </c>
      <c r="W99" s="588">
        <v>0.192</v>
      </c>
      <c r="X99" s="691">
        <v>0.9</v>
      </c>
      <c r="Y99" s="691">
        <v>0.9</v>
      </c>
      <c r="Z99" s="588">
        <v>8.0000000000000002E-3</v>
      </c>
      <c r="AA99" s="588"/>
      <c r="AB99" s="588"/>
      <c r="AC99" s="588"/>
      <c r="AD99" s="147"/>
      <c r="AE99" s="588"/>
      <c r="AF99" s="94"/>
      <c r="AG99" s="14"/>
      <c r="AH99" s="62"/>
      <c r="AI99" s="62"/>
      <c r="AJ99" s="14"/>
      <c r="AK99" s="62"/>
      <c r="AL99" s="14"/>
      <c r="AM99" s="14"/>
      <c r="AN99" s="14"/>
      <c r="AO99" s="14"/>
      <c r="AP99" s="14"/>
    </row>
    <row r="100" spans="1:42" x14ac:dyDescent="0.3">
      <c r="A100" s="50">
        <v>97</v>
      </c>
      <c r="B100" s="50"/>
      <c r="C100" s="50"/>
      <c r="D100" s="50"/>
      <c r="E100" s="50"/>
      <c r="F100" s="50"/>
      <c r="G100" s="50"/>
      <c r="H100" s="50"/>
      <c r="I100" s="50"/>
      <c r="J100" s="50"/>
      <c r="K100" s="588"/>
      <c r="L100" s="147">
        <v>0.14000000000000001</v>
      </c>
      <c r="M100" s="147">
        <v>0.03</v>
      </c>
      <c r="N100" s="50"/>
      <c r="O100" s="50"/>
      <c r="P100" s="50"/>
      <c r="Q100" s="147"/>
      <c r="R100" s="520"/>
      <c r="S100" s="147"/>
      <c r="T100" s="147"/>
      <c r="U100" s="147"/>
      <c r="V100" s="588">
        <v>0.87</v>
      </c>
      <c r="W100" s="588">
        <v>0.189</v>
      </c>
      <c r="X100" s="691">
        <v>0.9</v>
      </c>
      <c r="Y100" s="691">
        <v>0.9</v>
      </c>
      <c r="Z100" s="588">
        <v>6.0000000000000001E-3</v>
      </c>
      <c r="AA100" s="588"/>
      <c r="AB100" s="588"/>
      <c r="AC100" s="588"/>
      <c r="AD100" s="147"/>
      <c r="AE100" s="588"/>
      <c r="AF100" s="94"/>
      <c r="AG100" s="14"/>
      <c r="AH100" s="62"/>
      <c r="AI100" s="62"/>
      <c r="AJ100" s="14"/>
      <c r="AK100" s="62"/>
      <c r="AL100" s="14"/>
      <c r="AM100" s="14"/>
      <c r="AN100" s="14"/>
      <c r="AO100" s="14"/>
      <c r="AP100" s="14"/>
    </row>
    <row r="101" spans="1:42" x14ac:dyDescent="0.3">
      <c r="A101" s="50">
        <v>98</v>
      </c>
      <c r="B101" s="50"/>
      <c r="C101" s="50"/>
      <c r="D101" s="50"/>
      <c r="E101" s="50"/>
      <c r="F101" s="50"/>
      <c r="G101" s="50"/>
      <c r="H101" s="50"/>
      <c r="I101" s="50"/>
      <c r="J101" s="50"/>
      <c r="K101" s="588"/>
      <c r="L101" s="147">
        <v>0.14000000000000001</v>
      </c>
      <c r="M101" s="147">
        <v>0.03</v>
      </c>
      <c r="N101" s="50"/>
      <c r="O101" s="50"/>
      <c r="P101" s="50"/>
      <c r="Q101" s="147"/>
      <c r="R101" s="520"/>
      <c r="S101" s="147"/>
      <c r="T101" s="147"/>
      <c r="U101" s="147"/>
      <c r="V101" s="588">
        <v>0.88</v>
      </c>
      <c r="W101" s="588">
        <v>0.186</v>
      </c>
      <c r="X101" s="691">
        <v>0.9</v>
      </c>
      <c r="Y101" s="691">
        <v>0.9</v>
      </c>
      <c r="Z101" s="588">
        <v>4.0000000000000001E-3</v>
      </c>
      <c r="AA101" s="588"/>
      <c r="AB101" s="588"/>
      <c r="AC101" s="588"/>
      <c r="AD101" s="147"/>
      <c r="AE101" s="588"/>
      <c r="AF101" s="94"/>
      <c r="AG101" s="14"/>
      <c r="AH101" s="62"/>
      <c r="AI101" s="62"/>
      <c r="AJ101" s="14"/>
      <c r="AK101" s="62"/>
      <c r="AL101" s="14"/>
      <c r="AM101" s="14"/>
      <c r="AN101" s="14"/>
      <c r="AO101" s="14"/>
      <c r="AP101" s="14"/>
    </row>
    <row r="102" spans="1:42" x14ac:dyDescent="0.3">
      <c r="A102" s="50">
        <v>99</v>
      </c>
      <c r="B102" s="50"/>
      <c r="C102" s="50"/>
      <c r="D102" s="50"/>
      <c r="E102" s="50"/>
      <c r="F102" s="50"/>
      <c r="G102" s="50"/>
      <c r="H102" s="50"/>
      <c r="I102" s="50"/>
      <c r="J102" s="50"/>
      <c r="K102" s="588"/>
      <c r="L102" s="147">
        <v>0.14000000000000001</v>
      </c>
      <c r="M102" s="147">
        <v>0.03</v>
      </c>
      <c r="N102" s="50"/>
      <c r="O102" s="50"/>
      <c r="P102" s="50"/>
      <c r="Q102" s="147"/>
      <c r="R102" s="520"/>
      <c r="S102" s="147"/>
      <c r="T102" s="147"/>
      <c r="U102" s="147"/>
      <c r="V102" s="588">
        <v>0.89</v>
      </c>
      <c r="W102" s="588">
        <v>0.183</v>
      </c>
      <c r="X102" s="691">
        <v>0.9</v>
      </c>
      <c r="Y102" s="691">
        <v>0.9</v>
      </c>
      <c r="Z102" s="588">
        <v>2E-3</v>
      </c>
      <c r="AA102" s="588"/>
      <c r="AB102" s="588"/>
      <c r="AC102" s="588"/>
      <c r="AD102" s="147"/>
      <c r="AE102" s="588"/>
      <c r="AF102" s="94"/>
      <c r="AG102" s="14"/>
      <c r="AH102" s="62"/>
      <c r="AI102" s="62"/>
      <c r="AJ102" s="14"/>
      <c r="AK102" s="62"/>
      <c r="AL102" s="14"/>
      <c r="AM102" s="14"/>
      <c r="AN102" s="14"/>
      <c r="AO102" s="14"/>
      <c r="AP102" s="14"/>
    </row>
    <row r="103" spans="1:42" x14ac:dyDescent="0.3">
      <c r="A103" s="50">
        <v>100</v>
      </c>
      <c r="B103" s="50"/>
      <c r="C103" s="50"/>
      <c r="D103" s="50"/>
      <c r="E103" s="50"/>
      <c r="F103" s="50"/>
      <c r="G103" s="50"/>
      <c r="H103" s="50"/>
      <c r="I103" s="50"/>
      <c r="J103" s="50"/>
      <c r="K103" s="688"/>
      <c r="L103" s="147">
        <v>0.14000000000000001</v>
      </c>
      <c r="M103" s="147">
        <v>0.03</v>
      </c>
      <c r="N103" s="50"/>
      <c r="O103" s="50"/>
      <c r="P103" s="50"/>
      <c r="Q103" s="147"/>
      <c r="R103" s="520"/>
      <c r="S103" s="147"/>
      <c r="T103" s="147"/>
      <c r="U103" s="147"/>
      <c r="V103" s="588">
        <v>0.9</v>
      </c>
      <c r="W103" s="588">
        <v>0.18</v>
      </c>
      <c r="X103" s="691">
        <v>0.9</v>
      </c>
      <c r="Y103" s="691">
        <v>0.9</v>
      </c>
      <c r="Z103" s="588">
        <v>0</v>
      </c>
      <c r="AA103" s="588"/>
      <c r="AB103" s="588"/>
      <c r="AC103" s="588"/>
      <c r="AD103" s="147"/>
      <c r="AE103" s="588"/>
      <c r="AF103" s="94"/>
      <c r="AG103" s="14"/>
      <c r="AH103" s="62"/>
      <c r="AI103" s="62"/>
      <c r="AJ103" s="14"/>
      <c r="AK103" s="62"/>
      <c r="AL103" s="14"/>
      <c r="AM103" s="14"/>
      <c r="AN103" s="14"/>
      <c r="AO103" s="14"/>
      <c r="AP103" s="14"/>
    </row>
    <row r="104" spans="1:42" x14ac:dyDescent="0.3">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v>0.17599999999999999</v>
      </c>
      <c r="X104" s="691">
        <v>0.9</v>
      </c>
      <c r="Y104" s="691">
        <v>0.9</v>
      </c>
      <c r="Z104" s="588"/>
      <c r="AA104" s="588"/>
      <c r="AB104" s="588"/>
      <c r="AC104" s="588"/>
      <c r="AD104" s="147"/>
      <c r="AE104" s="588"/>
      <c r="AF104" s="94"/>
      <c r="AG104" s="14"/>
      <c r="AH104" s="62"/>
      <c r="AI104" s="62"/>
      <c r="AJ104" s="14"/>
      <c r="AK104" s="62"/>
      <c r="AL104" s="14"/>
      <c r="AM104" s="14"/>
      <c r="AN104" s="14"/>
      <c r="AO104" s="14"/>
      <c r="AP104" s="14"/>
    </row>
    <row r="105" spans="1:42" x14ac:dyDescent="0.3">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v>0.17199999999999999</v>
      </c>
      <c r="X105" s="691">
        <v>0.9</v>
      </c>
      <c r="Y105" s="691">
        <v>0.9</v>
      </c>
      <c r="Z105" s="588"/>
      <c r="AA105" s="588"/>
      <c r="AB105" s="588"/>
      <c r="AC105" s="588"/>
      <c r="AD105" s="147"/>
      <c r="AE105" s="588"/>
      <c r="AF105" s="94"/>
      <c r="AG105" s="14"/>
      <c r="AH105" s="62"/>
      <c r="AI105" s="62"/>
      <c r="AJ105" s="14"/>
      <c r="AK105" s="62"/>
      <c r="AL105" s="14"/>
      <c r="AM105" s="14"/>
      <c r="AN105" s="14"/>
      <c r="AO105" s="14"/>
      <c r="AP105" s="14"/>
    </row>
    <row r="106" spans="1:42" x14ac:dyDescent="0.3">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v>0.16800000000000001</v>
      </c>
      <c r="X106" s="691">
        <v>0.9</v>
      </c>
      <c r="Y106" s="691">
        <v>0.9</v>
      </c>
      <c r="Z106" s="588"/>
      <c r="AA106" s="588"/>
      <c r="AB106" s="588"/>
      <c r="AC106" s="588"/>
      <c r="AD106" s="147"/>
      <c r="AE106" s="588"/>
      <c r="AF106" s="94"/>
      <c r="AG106" s="14"/>
      <c r="AH106" s="62"/>
      <c r="AI106" s="62"/>
      <c r="AJ106" s="14"/>
      <c r="AK106" s="62"/>
      <c r="AL106" s="14"/>
      <c r="AM106" s="14"/>
      <c r="AN106" s="14"/>
      <c r="AO106" s="14"/>
      <c r="AP106" s="14"/>
    </row>
    <row r="107" spans="1:42" x14ac:dyDescent="0.3">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v>0.16400000000000001</v>
      </c>
      <c r="X107" s="691">
        <v>0.9</v>
      </c>
      <c r="Y107" s="691">
        <v>0.9</v>
      </c>
      <c r="Z107" s="588"/>
      <c r="AA107" s="588"/>
      <c r="AB107" s="588"/>
      <c r="AC107" s="588"/>
      <c r="AD107" s="147"/>
      <c r="AE107" s="588"/>
      <c r="AF107" s="94"/>
      <c r="AG107" s="14"/>
      <c r="AH107" s="62"/>
      <c r="AI107" s="62"/>
      <c r="AJ107" s="14"/>
      <c r="AK107" s="62"/>
      <c r="AL107" s="14"/>
      <c r="AM107" s="14"/>
      <c r="AN107" s="14"/>
      <c r="AO107" s="14"/>
      <c r="AP107" s="14"/>
    </row>
    <row r="108" spans="1:42" x14ac:dyDescent="0.3">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v>0.16</v>
      </c>
      <c r="X108" s="691">
        <v>0.9</v>
      </c>
      <c r="Y108" s="691">
        <v>0.9</v>
      </c>
      <c r="Z108" s="588"/>
      <c r="AA108" s="588"/>
      <c r="AB108" s="588"/>
      <c r="AC108" s="588"/>
      <c r="AD108" s="147"/>
      <c r="AE108" s="588"/>
      <c r="AF108" s="94"/>
      <c r="AG108" s="14"/>
      <c r="AH108" s="62"/>
      <c r="AI108" s="62"/>
      <c r="AJ108" s="14"/>
      <c r="AK108" s="62"/>
      <c r="AL108" s="14"/>
      <c r="AM108" s="14"/>
      <c r="AN108" s="14"/>
      <c r="AO108" s="14"/>
      <c r="AP108" s="14"/>
    </row>
    <row r="109" spans="1:42" x14ac:dyDescent="0.3">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v>0.156</v>
      </c>
      <c r="X109" s="691">
        <v>0.9</v>
      </c>
      <c r="Y109" s="691">
        <v>0.9</v>
      </c>
      <c r="Z109" s="588"/>
      <c r="AA109" s="588"/>
      <c r="AB109" s="588"/>
      <c r="AC109" s="588"/>
      <c r="AD109" s="147"/>
      <c r="AE109" s="588"/>
      <c r="AF109" s="94"/>
      <c r="AG109" s="14"/>
      <c r="AH109" s="62"/>
      <c r="AI109" s="62"/>
      <c r="AJ109" s="14"/>
      <c r="AK109" s="62"/>
      <c r="AL109" s="14"/>
      <c r="AM109" s="14"/>
      <c r="AN109" s="14"/>
      <c r="AO109" s="14"/>
      <c r="AP109" s="14"/>
    </row>
    <row r="110" spans="1:42" x14ac:dyDescent="0.3">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v>0.152</v>
      </c>
      <c r="X110" s="691">
        <v>0.9</v>
      </c>
      <c r="Y110" s="691">
        <v>0.9</v>
      </c>
      <c r="Z110" s="588"/>
      <c r="AA110" s="588"/>
      <c r="AB110" s="588"/>
      <c r="AC110" s="588"/>
      <c r="AD110" s="147"/>
      <c r="AE110" s="588"/>
      <c r="AF110" s="94"/>
      <c r="AG110" s="14"/>
      <c r="AH110" s="62"/>
      <c r="AI110" s="62"/>
      <c r="AJ110" s="14"/>
      <c r="AK110" s="62"/>
      <c r="AL110" s="14"/>
      <c r="AM110" s="14"/>
      <c r="AN110" s="14"/>
      <c r="AO110" s="14"/>
      <c r="AP110" s="14"/>
    </row>
    <row r="111" spans="1:42" x14ac:dyDescent="0.3">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v>0.14799999999999999</v>
      </c>
      <c r="X111" s="691">
        <v>0.9</v>
      </c>
      <c r="Y111" s="691">
        <v>0.9</v>
      </c>
      <c r="Z111" s="588"/>
      <c r="AA111" s="588"/>
      <c r="AB111" s="588"/>
      <c r="AC111" s="588"/>
      <c r="AD111" s="147"/>
      <c r="AE111" s="588"/>
      <c r="AF111" s="94"/>
      <c r="AG111" s="14"/>
      <c r="AH111" s="62"/>
      <c r="AI111" s="62"/>
      <c r="AJ111" s="14"/>
      <c r="AK111" s="62"/>
      <c r="AL111" s="14"/>
      <c r="AM111" s="14"/>
      <c r="AN111" s="14"/>
      <c r="AO111" s="14"/>
      <c r="AP111" s="14"/>
    </row>
    <row r="112" spans="1:42" x14ac:dyDescent="0.3">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v>0.14399999999999999</v>
      </c>
      <c r="X112" s="691">
        <v>0.9</v>
      </c>
      <c r="Y112" s="691">
        <v>0.9</v>
      </c>
      <c r="Z112" s="588"/>
      <c r="AA112" s="588"/>
      <c r="AB112" s="588"/>
      <c r="AC112" s="588"/>
      <c r="AD112" s="147"/>
      <c r="AE112" s="588"/>
      <c r="AF112" s="94"/>
      <c r="AG112" s="14"/>
      <c r="AH112" s="62"/>
      <c r="AI112" s="62"/>
      <c r="AJ112" s="14"/>
      <c r="AK112" s="62"/>
      <c r="AL112" s="14"/>
      <c r="AM112" s="14"/>
      <c r="AN112" s="14"/>
      <c r="AO112" s="14"/>
      <c r="AP112" s="14"/>
    </row>
    <row r="113" spans="1:42" x14ac:dyDescent="0.3">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v>0.14000000000000001</v>
      </c>
      <c r="X113" s="691">
        <v>0.9</v>
      </c>
      <c r="Y113" s="691">
        <v>0.9</v>
      </c>
      <c r="Z113" s="588"/>
      <c r="AA113" s="588"/>
      <c r="AB113" s="588"/>
      <c r="AC113" s="588"/>
      <c r="AD113" s="147"/>
      <c r="AE113" s="588"/>
      <c r="AF113" s="94"/>
      <c r="AG113" s="14"/>
      <c r="AH113" s="62"/>
      <c r="AI113" s="62"/>
      <c r="AJ113" s="14"/>
      <c r="AK113" s="62"/>
      <c r="AL113" s="14"/>
      <c r="AM113" s="14"/>
      <c r="AN113" s="14"/>
      <c r="AO113" s="14"/>
      <c r="AP113" s="14"/>
    </row>
    <row r="114" spans="1:42" x14ac:dyDescent="0.3">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v>0.13700000000000001</v>
      </c>
      <c r="X114" s="691">
        <v>0.9</v>
      </c>
      <c r="Y114" s="691">
        <v>0.9</v>
      </c>
      <c r="Z114" s="588"/>
      <c r="AA114" s="588"/>
      <c r="AB114" s="588"/>
      <c r="AC114" s="588"/>
      <c r="AD114" s="147"/>
      <c r="AE114" s="588"/>
      <c r="AF114" s="94"/>
      <c r="AG114" s="14"/>
      <c r="AH114" s="62"/>
      <c r="AI114" s="62"/>
      <c r="AJ114" s="14"/>
      <c r="AK114" s="62"/>
      <c r="AL114" s="14"/>
      <c r="AM114" s="14"/>
      <c r="AN114" s="14"/>
      <c r="AO114" s="14"/>
      <c r="AP114" s="14"/>
    </row>
    <row r="115" spans="1:42" x14ac:dyDescent="0.3">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v>0.13400000000000001</v>
      </c>
      <c r="X115" s="691">
        <v>0.9</v>
      </c>
      <c r="Y115" s="691">
        <v>0.9</v>
      </c>
      <c r="Z115" s="588"/>
      <c r="AA115" s="588"/>
      <c r="AB115" s="588"/>
      <c r="AC115" s="588"/>
      <c r="AD115" s="147"/>
      <c r="AE115" s="588"/>
      <c r="AF115" s="94"/>
      <c r="AG115" s="14"/>
      <c r="AH115" s="62"/>
      <c r="AI115" s="62"/>
      <c r="AJ115" s="14"/>
      <c r="AK115" s="62"/>
      <c r="AL115" s="14"/>
      <c r="AM115" s="14"/>
      <c r="AN115" s="14"/>
      <c r="AO115" s="14"/>
      <c r="AP115" s="14"/>
    </row>
    <row r="116" spans="1:42" x14ac:dyDescent="0.3">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v>0.13100000000000001</v>
      </c>
      <c r="X116" s="691">
        <v>0.9</v>
      </c>
      <c r="Y116" s="691">
        <v>0.9</v>
      </c>
      <c r="Z116" s="588"/>
      <c r="AA116" s="588"/>
      <c r="AB116" s="588"/>
      <c r="AC116" s="588"/>
      <c r="AD116" s="147"/>
      <c r="AE116" s="588"/>
      <c r="AF116" s="94"/>
      <c r="AG116" s="14"/>
      <c r="AH116" s="62"/>
      <c r="AI116" s="62"/>
      <c r="AJ116" s="14"/>
      <c r="AK116" s="62"/>
      <c r="AL116" s="14"/>
      <c r="AM116" s="14"/>
      <c r="AN116" s="14"/>
      <c r="AO116" s="14"/>
      <c r="AP116" s="14"/>
    </row>
    <row r="117" spans="1:42" x14ac:dyDescent="0.3">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v>0.128</v>
      </c>
      <c r="X117" s="691">
        <v>0.9</v>
      </c>
      <c r="Y117" s="691">
        <v>0.9</v>
      </c>
      <c r="Z117" s="588"/>
      <c r="AA117" s="588"/>
      <c r="AB117" s="588"/>
      <c r="AC117" s="588"/>
      <c r="AD117" s="147"/>
      <c r="AE117" s="588"/>
      <c r="AF117" s="94"/>
      <c r="AG117" s="14"/>
      <c r="AH117" s="62"/>
      <c r="AI117" s="62"/>
      <c r="AJ117" s="14"/>
      <c r="AK117" s="62"/>
      <c r="AL117" s="14"/>
      <c r="AM117" s="14"/>
      <c r="AN117" s="14"/>
      <c r="AO117" s="14"/>
      <c r="AP117" s="14"/>
    </row>
    <row r="118" spans="1:42" x14ac:dyDescent="0.3">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v>0.125</v>
      </c>
      <c r="X118" s="691">
        <v>0.9</v>
      </c>
      <c r="Y118" s="691">
        <v>0.9</v>
      </c>
      <c r="Z118" s="588"/>
      <c r="AA118" s="588"/>
      <c r="AB118" s="588"/>
      <c r="AC118" s="588"/>
      <c r="AD118" s="147"/>
      <c r="AE118" s="588"/>
      <c r="AF118" s="94"/>
      <c r="AG118" s="14"/>
      <c r="AH118" s="62"/>
      <c r="AI118" s="62"/>
      <c r="AJ118" s="14"/>
      <c r="AK118" s="62"/>
      <c r="AL118" s="14"/>
      <c r="AM118" s="14"/>
      <c r="AN118" s="14"/>
      <c r="AO118" s="14"/>
      <c r="AP118" s="14"/>
    </row>
    <row r="119" spans="1:42" x14ac:dyDescent="0.3">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v>0.122</v>
      </c>
      <c r="X119" s="691">
        <v>0.9</v>
      </c>
      <c r="Y119" s="691">
        <v>0.9</v>
      </c>
      <c r="Z119" s="588"/>
      <c r="AA119" s="588"/>
      <c r="AB119" s="588"/>
      <c r="AC119" s="588"/>
      <c r="AD119" s="147"/>
      <c r="AE119" s="588"/>
      <c r="AF119" s="94"/>
      <c r="AG119" s="14"/>
      <c r="AH119" s="62"/>
      <c r="AI119" s="62"/>
      <c r="AJ119" s="14"/>
      <c r="AK119" s="62"/>
      <c r="AL119" s="14"/>
      <c r="AM119" s="14"/>
      <c r="AN119" s="14"/>
      <c r="AO119" s="14"/>
      <c r="AP119" s="14"/>
    </row>
    <row r="120" spans="1:42" x14ac:dyDescent="0.3">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v>0.11899999999999999</v>
      </c>
      <c r="X120" s="691">
        <v>0.9</v>
      </c>
      <c r="Y120" s="691">
        <v>0.9</v>
      </c>
      <c r="Z120" s="588"/>
      <c r="AA120" s="588"/>
      <c r="AB120" s="588"/>
      <c r="AC120" s="588"/>
      <c r="AD120" s="147"/>
      <c r="AE120" s="588"/>
      <c r="AF120" s="94"/>
      <c r="AG120" s="14"/>
      <c r="AH120" s="62"/>
      <c r="AI120" s="62"/>
      <c r="AJ120" s="14"/>
      <c r="AK120" s="62"/>
      <c r="AL120" s="14"/>
      <c r="AM120" s="14"/>
      <c r="AN120" s="14"/>
      <c r="AO120" s="14"/>
      <c r="AP120" s="14"/>
    </row>
    <row r="121" spans="1:42" x14ac:dyDescent="0.3">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v>0.11600000000000001</v>
      </c>
      <c r="X121" s="691">
        <v>0.9</v>
      </c>
      <c r="Y121" s="691">
        <v>0.9</v>
      </c>
      <c r="Z121" s="588"/>
      <c r="AA121" s="588"/>
      <c r="AB121" s="588"/>
      <c r="AC121" s="588"/>
      <c r="AD121" s="147"/>
      <c r="AE121" s="588"/>
      <c r="AF121" s="94"/>
      <c r="AG121" s="14"/>
      <c r="AH121" s="62"/>
      <c r="AI121" s="62"/>
      <c r="AJ121" s="14"/>
      <c r="AK121" s="62"/>
      <c r="AL121" s="14"/>
      <c r="AM121" s="14"/>
      <c r="AN121" s="14"/>
      <c r="AO121" s="14"/>
      <c r="AP121" s="14"/>
    </row>
    <row r="122" spans="1:42" x14ac:dyDescent="0.3">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v>0.113</v>
      </c>
      <c r="X122" s="691">
        <v>0.9</v>
      </c>
      <c r="Y122" s="691">
        <v>0.9</v>
      </c>
      <c r="Z122" s="588"/>
      <c r="AA122" s="588"/>
      <c r="AB122" s="588"/>
      <c r="AC122" s="588"/>
      <c r="AD122" s="147"/>
      <c r="AE122" s="588"/>
      <c r="AF122" s="94"/>
      <c r="AG122" s="14"/>
      <c r="AH122" s="62"/>
      <c r="AI122" s="62"/>
      <c r="AJ122" s="14"/>
      <c r="AK122" s="62"/>
      <c r="AL122" s="14"/>
      <c r="AM122" s="14"/>
      <c r="AN122" s="14"/>
      <c r="AO122" s="14"/>
      <c r="AP122" s="14"/>
    </row>
    <row r="123" spans="1:42" x14ac:dyDescent="0.3">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v>0.11</v>
      </c>
      <c r="X123" s="691">
        <v>0.9</v>
      </c>
      <c r="Y123" s="691">
        <v>0.9</v>
      </c>
      <c r="Z123" s="588"/>
      <c r="AA123" s="588"/>
      <c r="AB123" s="588"/>
      <c r="AC123" s="588"/>
      <c r="AD123" s="147"/>
      <c r="AE123" s="588"/>
      <c r="AF123" s="94"/>
      <c r="AG123" s="14"/>
      <c r="AH123" s="62"/>
      <c r="AI123" s="62"/>
      <c r="AJ123" s="14"/>
      <c r="AK123" s="62"/>
      <c r="AL123" s="14"/>
      <c r="AM123" s="14"/>
      <c r="AN123" s="14"/>
      <c r="AO123" s="14"/>
      <c r="AP123" s="14"/>
    </row>
    <row r="124" spans="1:42" x14ac:dyDescent="0.3">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v>0.106</v>
      </c>
      <c r="X124" s="691">
        <v>0.9</v>
      </c>
      <c r="Y124" s="691">
        <v>0.9</v>
      </c>
      <c r="Z124" s="588"/>
      <c r="AA124" s="588"/>
      <c r="AB124" s="588"/>
      <c r="AC124" s="588"/>
      <c r="AD124" s="147"/>
      <c r="AE124" s="588"/>
      <c r="AF124" s="94"/>
      <c r="AG124" s="14"/>
      <c r="AH124" s="62"/>
      <c r="AI124" s="62"/>
      <c r="AJ124" s="14"/>
      <c r="AK124" s="62"/>
      <c r="AL124" s="14"/>
      <c r="AM124" s="14"/>
      <c r="AN124" s="14"/>
      <c r="AO124" s="14"/>
      <c r="AP124" s="14"/>
    </row>
    <row r="125" spans="1:42" x14ac:dyDescent="0.3">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v>0.10199999999999999</v>
      </c>
      <c r="X125" s="691">
        <v>0.9</v>
      </c>
      <c r="Y125" s="691">
        <v>0.9</v>
      </c>
      <c r="Z125" s="588"/>
      <c r="AA125" s="588"/>
      <c r="AB125" s="588"/>
      <c r="AC125" s="588"/>
      <c r="AD125" s="147"/>
      <c r="AE125" s="588"/>
      <c r="AF125" s="94"/>
      <c r="AG125" s="14"/>
      <c r="AH125" s="62"/>
      <c r="AI125" s="62"/>
      <c r="AJ125" s="14"/>
      <c r="AK125" s="62"/>
      <c r="AL125" s="14"/>
      <c r="AM125" s="14"/>
      <c r="AN125" s="14"/>
      <c r="AO125" s="14"/>
      <c r="AP125" s="14"/>
    </row>
    <row r="126" spans="1:42" x14ac:dyDescent="0.3">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v>9.8000000000000004E-2</v>
      </c>
      <c r="X126" s="691">
        <v>0.9</v>
      </c>
      <c r="Y126" s="691">
        <v>0.9</v>
      </c>
      <c r="Z126" s="588"/>
      <c r="AA126" s="588"/>
      <c r="AB126" s="588"/>
      <c r="AC126" s="588"/>
      <c r="AD126" s="147"/>
      <c r="AE126" s="588"/>
      <c r="AF126" s="94"/>
      <c r="AG126" s="14"/>
      <c r="AH126" s="62"/>
      <c r="AI126" s="62"/>
      <c r="AJ126" s="14"/>
      <c r="AK126" s="62"/>
      <c r="AL126" s="14"/>
      <c r="AM126" s="14"/>
      <c r="AN126" s="14"/>
      <c r="AO126" s="14"/>
      <c r="AP126" s="14"/>
    </row>
    <row r="127" spans="1:42" x14ac:dyDescent="0.3">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v>9.4E-2</v>
      </c>
      <c r="X127" s="691">
        <v>0.9</v>
      </c>
      <c r="Y127" s="691">
        <v>0.9</v>
      </c>
      <c r="Z127" s="588"/>
      <c r="AA127" s="588"/>
      <c r="AB127" s="588"/>
      <c r="AC127" s="588"/>
      <c r="AD127" s="147"/>
      <c r="AE127" s="588"/>
      <c r="AF127" s="94"/>
      <c r="AG127" s="14"/>
      <c r="AH127" s="62"/>
      <c r="AI127" s="62"/>
      <c r="AJ127" s="14"/>
      <c r="AK127" s="62"/>
      <c r="AL127" s="14"/>
      <c r="AM127" s="14"/>
      <c r="AN127" s="14"/>
      <c r="AO127" s="14"/>
      <c r="AP127" s="14"/>
    </row>
    <row r="128" spans="1:42" x14ac:dyDescent="0.3">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v>0.09</v>
      </c>
      <c r="X128" s="691">
        <v>0.9</v>
      </c>
      <c r="Y128" s="691">
        <v>0.9</v>
      </c>
      <c r="Z128" s="588"/>
      <c r="AA128" s="588"/>
      <c r="AB128" s="588"/>
      <c r="AC128" s="588"/>
      <c r="AD128" s="147"/>
      <c r="AE128" s="588"/>
      <c r="AF128" s="94"/>
      <c r="AG128" s="14"/>
      <c r="AH128" s="62"/>
      <c r="AI128" s="62"/>
      <c r="AJ128" s="14"/>
      <c r="AK128" s="62"/>
      <c r="AL128" s="14"/>
      <c r="AM128" s="14"/>
      <c r="AN128" s="14"/>
      <c r="AO128" s="14"/>
      <c r="AP128" s="14"/>
    </row>
    <row r="129" spans="1:42" x14ac:dyDescent="0.3">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v>8.5999999999999993E-2</v>
      </c>
      <c r="X129" s="691">
        <v>0.9</v>
      </c>
      <c r="Y129" s="691">
        <v>0.9</v>
      </c>
      <c r="Z129" s="588"/>
      <c r="AA129" s="588"/>
      <c r="AB129" s="588"/>
      <c r="AC129" s="588"/>
      <c r="AD129" s="147"/>
      <c r="AE129" s="588"/>
      <c r="AF129" s="94"/>
      <c r="AG129" s="14"/>
      <c r="AH129" s="62"/>
      <c r="AI129" s="62"/>
      <c r="AJ129" s="14"/>
      <c r="AK129" s="62"/>
      <c r="AL129" s="14"/>
      <c r="AM129" s="14"/>
      <c r="AN129" s="14"/>
      <c r="AO129" s="14"/>
      <c r="AP129" s="14"/>
    </row>
    <row r="130" spans="1:42" x14ac:dyDescent="0.3">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v>8.2000000000000003E-2</v>
      </c>
      <c r="X130" s="691">
        <v>0.9</v>
      </c>
      <c r="Y130" s="691">
        <v>0.9</v>
      </c>
      <c r="Z130" s="588"/>
      <c r="AA130" s="588"/>
      <c r="AB130" s="588"/>
      <c r="AC130" s="588"/>
      <c r="AD130" s="147"/>
      <c r="AE130" s="588"/>
      <c r="AF130" s="94"/>
      <c r="AG130" s="14"/>
      <c r="AH130" s="62"/>
      <c r="AI130" s="62"/>
      <c r="AJ130" s="14"/>
      <c r="AK130" s="62"/>
      <c r="AL130" s="14"/>
      <c r="AM130" s="14"/>
      <c r="AN130" s="14"/>
      <c r="AO130" s="14"/>
      <c r="AP130" s="14"/>
    </row>
    <row r="131" spans="1:42" x14ac:dyDescent="0.3">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v>7.8E-2</v>
      </c>
      <c r="X131" s="691">
        <v>0.9</v>
      </c>
      <c r="Y131" s="691">
        <v>0.9</v>
      </c>
      <c r="Z131" s="588"/>
      <c r="AA131" s="588"/>
      <c r="AB131" s="588"/>
      <c r="AC131" s="588"/>
      <c r="AD131" s="147"/>
      <c r="AE131" s="588"/>
      <c r="AF131" s="94"/>
      <c r="AG131" s="14"/>
      <c r="AH131" s="62"/>
      <c r="AI131" s="62"/>
      <c r="AJ131" s="14"/>
      <c r="AK131" s="62"/>
      <c r="AL131" s="14"/>
      <c r="AM131" s="14"/>
      <c r="AN131" s="14"/>
      <c r="AO131" s="14"/>
      <c r="AP131" s="14"/>
    </row>
    <row r="132" spans="1:42" x14ac:dyDescent="0.3">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v>7.3999999999999996E-2</v>
      </c>
      <c r="X132" s="691">
        <v>0.9</v>
      </c>
      <c r="Y132" s="691">
        <v>0.9</v>
      </c>
      <c r="Z132" s="588"/>
      <c r="AA132" s="588"/>
      <c r="AB132" s="588"/>
      <c r="AC132" s="588"/>
      <c r="AD132" s="147"/>
      <c r="AE132" s="588"/>
      <c r="AF132" s="94"/>
      <c r="AG132" s="14"/>
      <c r="AH132" s="62"/>
      <c r="AI132" s="62"/>
      <c r="AJ132" s="14"/>
      <c r="AK132" s="62"/>
      <c r="AL132" s="14"/>
      <c r="AM132" s="14"/>
      <c r="AN132" s="14"/>
      <c r="AO132" s="14"/>
      <c r="AP132" s="14"/>
    </row>
    <row r="133" spans="1:42" x14ac:dyDescent="0.3">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v>7.0000000000000007E-2</v>
      </c>
      <c r="X133" s="691">
        <v>0.9</v>
      </c>
      <c r="Y133" s="691">
        <v>0.9</v>
      </c>
      <c r="Z133" s="588"/>
      <c r="AA133" s="588"/>
      <c r="AB133" s="588"/>
      <c r="AC133" s="588"/>
      <c r="AD133" s="147"/>
      <c r="AE133" s="588"/>
      <c r="AF133" s="94"/>
      <c r="AG133" s="14"/>
      <c r="AH133" s="62"/>
      <c r="AI133" s="62"/>
      <c r="AJ133" s="14"/>
      <c r="AK133" s="62"/>
      <c r="AL133" s="14"/>
      <c r="AM133" s="14"/>
      <c r="AN133" s="14"/>
      <c r="AO133" s="14"/>
      <c r="AP133" s="14"/>
    </row>
    <row r="134" spans="1:42" x14ac:dyDescent="0.3">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v>6.7000000000000004E-2</v>
      </c>
      <c r="X134" s="691">
        <v>0.9</v>
      </c>
      <c r="Y134" s="691">
        <v>0.9</v>
      </c>
      <c r="Z134" s="588"/>
      <c r="AA134" s="588"/>
      <c r="AB134" s="588"/>
      <c r="AC134" s="588"/>
      <c r="AD134" s="147"/>
      <c r="AE134" s="588"/>
      <c r="AF134" s="94"/>
      <c r="AG134" s="14"/>
      <c r="AH134" s="62"/>
      <c r="AI134" s="62"/>
      <c r="AJ134" s="14"/>
      <c r="AK134" s="62"/>
      <c r="AL134" s="14"/>
      <c r="AM134" s="14"/>
      <c r="AN134" s="14"/>
      <c r="AO134" s="14"/>
      <c r="AP134" s="14"/>
    </row>
    <row r="135" spans="1:42" x14ac:dyDescent="0.3">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v>6.4000000000000001E-2</v>
      </c>
      <c r="X135" s="691">
        <v>0.9</v>
      </c>
      <c r="Y135" s="691">
        <v>0.9</v>
      </c>
      <c r="Z135" s="588"/>
      <c r="AA135" s="588"/>
      <c r="AB135" s="588"/>
      <c r="AC135" s="588"/>
      <c r="AD135" s="147"/>
      <c r="AE135" s="588"/>
      <c r="AF135" s="94"/>
      <c r="AG135" s="14"/>
      <c r="AH135" s="62"/>
      <c r="AI135" s="62"/>
      <c r="AJ135" s="14"/>
      <c r="AK135" s="62"/>
      <c r="AL135" s="14"/>
      <c r="AM135" s="14"/>
      <c r="AN135" s="14"/>
      <c r="AO135" s="14"/>
      <c r="AP135" s="14"/>
    </row>
    <row r="136" spans="1:42" x14ac:dyDescent="0.3">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v>6.0999999999999999E-2</v>
      </c>
      <c r="X136" s="691">
        <v>0.9</v>
      </c>
      <c r="Y136" s="691">
        <v>0.9</v>
      </c>
      <c r="Z136" s="588"/>
      <c r="AA136" s="588"/>
      <c r="AB136" s="588"/>
      <c r="AC136" s="588"/>
      <c r="AD136" s="147"/>
      <c r="AE136" s="588"/>
      <c r="AF136" s="94"/>
      <c r="AG136" s="14"/>
      <c r="AH136" s="62"/>
      <c r="AI136" s="62"/>
      <c r="AJ136" s="14"/>
      <c r="AK136" s="62"/>
      <c r="AL136" s="14"/>
      <c r="AM136" s="14"/>
      <c r="AN136" s="14"/>
      <c r="AO136" s="14"/>
      <c r="AP136" s="14"/>
    </row>
    <row r="137" spans="1:42" x14ac:dyDescent="0.3">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v>5.8000000000000003E-2</v>
      </c>
      <c r="X137" s="691">
        <v>0.9</v>
      </c>
      <c r="Y137" s="691">
        <v>0.9</v>
      </c>
      <c r="Z137" s="588"/>
      <c r="AA137" s="588"/>
      <c r="AB137" s="588"/>
      <c r="AC137" s="588"/>
      <c r="AD137" s="147"/>
      <c r="AE137" s="588"/>
      <c r="AF137" s="94"/>
      <c r="AG137" s="14"/>
      <c r="AH137" s="62"/>
      <c r="AI137" s="62"/>
      <c r="AJ137" s="14"/>
      <c r="AK137" s="62"/>
      <c r="AL137" s="14"/>
      <c r="AM137" s="14"/>
      <c r="AN137" s="14"/>
      <c r="AO137" s="14"/>
      <c r="AP137" s="14"/>
    </row>
    <row r="138" spans="1:42" x14ac:dyDescent="0.3">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v>5.5E-2</v>
      </c>
      <c r="X138" s="691">
        <v>0.9</v>
      </c>
      <c r="Y138" s="691">
        <v>0.9</v>
      </c>
      <c r="Z138" s="588"/>
      <c r="AA138" s="588"/>
      <c r="AB138" s="588"/>
      <c r="AC138" s="588"/>
      <c r="AD138" s="147"/>
      <c r="AE138" s="588"/>
      <c r="AF138" s="94"/>
      <c r="AG138" s="14"/>
      <c r="AH138" s="62"/>
      <c r="AI138" s="62"/>
      <c r="AJ138" s="14"/>
      <c r="AK138" s="62"/>
      <c r="AL138" s="14"/>
      <c r="AM138" s="14"/>
      <c r="AN138" s="14"/>
      <c r="AO138" s="14"/>
      <c r="AP138" s="14"/>
    </row>
    <row r="139" spans="1:42" x14ac:dyDescent="0.3">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v>5.1999999999999998E-2</v>
      </c>
      <c r="X139" s="691">
        <v>0.9</v>
      </c>
      <c r="Y139" s="691">
        <v>0.9</v>
      </c>
      <c r="Z139" s="588"/>
      <c r="AA139" s="588"/>
      <c r="AB139" s="588"/>
      <c r="AC139" s="588"/>
      <c r="AD139" s="147"/>
      <c r="AE139" s="588"/>
      <c r="AF139" s="94"/>
      <c r="AG139" s="14"/>
      <c r="AH139" s="62"/>
      <c r="AI139" s="62"/>
      <c r="AJ139" s="14"/>
      <c r="AK139" s="62"/>
      <c r="AL139" s="14"/>
      <c r="AM139" s="14"/>
      <c r="AN139" s="14"/>
      <c r="AO139" s="14"/>
      <c r="AP139" s="14"/>
    </row>
    <row r="140" spans="1:42" x14ac:dyDescent="0.3">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v>4.9000000000000002E-2</v>
      </c>
      <c r="X140" s="691">
        <v>0.9</v>
      </c>
      <c r="Y140" s="691">
        <v>0.9</v>
      </c>
      <c r="Z140" s="588"/>
      <c r="AA140" s="588"/>
      <c r="AB140" s="588"/>
      <c r="AC140" s="588"/>
      <c r="AD140" s="147"/>
      <c r="AE140" s="588"/>
      <c r="AF140" s="94"/>
      <c r="AG140" s="14"/>
      <c r="AH140" s="62"/>
      <c r="AI140" s="62"/>
      <c r="AJ140" s="14"/>
      <c r="AK140" s="62"/>
      <c r="AL140" s="14"/>
      <c r="AM140" s="14"/>
      <c r="AN140" s="14"/>
      <c r="AO140" s="14"/>
      <c r="AP140" s="14"/>
    </row>
    <row r="141" spans="1:42" x14ac:dyDescent="0.3">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v>4.5999999999999999E-2</v>
      </c>
      <c r="X141" s="691">
        <v>0.9</v>
      </c>
      <c r="Y141" s="691">
        <v>0.9</v>
      </c>
      <c r="Z141" s="588"/>
      <c r="AA141" s="588"/>
      <c r="AB141" s="588"/>
      <c r="AC141" s="588"/>
      <c r="AD141" s="147"/>
      <c r="AE141" s="588"/>
      <c r="AF141" s="94"/>
      <c r="AG141" s="14"/>
      <c r="AH141" s="62"/>
      <c r="AI141" s="62"/>
      <c r="AJ141" s="14"/>
      <c r="AK141" s="62"/>
      <c r="AL141" s="14"/>
      <c r="AM141" s="14"/>
      <c r="AN141" s="14"/>
      <c r="AO141" s="14"/>
      <c r="AP141" s="14"/>
    </row>
    <row r="142" spans="1:42" x14ac:dyDescent="0.3">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v>4.2999999999999997E-2</v>
      </c>
      <c r="X142" s="691">
        <v>0.9</v>
      </c>
      <c r="Y142" s="691">
        <v>0.9</v>
      </c>
      <c r="Z142" s="588"/>
      <c r="AA142" s="588"/>
      <c r="AB142" s="588"/>
      <c r="AC142" s="588"/>
      <c r="AD142" s="147"/>
      <c r="AE142" s="588"/>
      <c r="AF142" s="94"/>
      <c r="AG142" s="14"/>
      <c r="AH142" s="62"/>
      <c r="AI142" s="62"/>
      <c r="AJ142" s="14"/>
      <c r="AK142" s="62"/>
      <c r="AL142" s="14"/>
      <c r="AM142" s="14"/>
      <c r="AN142" s="14"/>
      <c r="AO142" s="14"/>
      <c r="AP142" s="14"/>
    </row>
    <row r="143" spans="1:42" x14ac:dyDescent="0.3">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v>0.04</v>
      </c>
      <c r="X143" s="691">
        <v>0.9</v>
      </c>
      <c r="Y143" s="691">
        <v>0.9</v>
      </c>
      <c r="Z143" s="588"/>
      <c r="AA143" s="588"/>
      <c r="AB143" s="588"/>
      <c r="AC143" s="588"/>
      <c r="AD143" s="147"/>
      <c r="AE143" s="588"/>
      <c r="AF143" s="94"/>
      <c r="AG143" s="14"/>
      <c r="AH143" s="62"/>
      <c r="AI143" s="62"/>
      <c r="AJ143" s="14"/>
      <c r="AK143" s="62"/>
      <c r="AL143" s="14"/>
      <c r="AM143" s="14"/>
      <c r="AN143" s="14"/>
      <c r="AO143" s="14"/>
      <c r="AP143" s="14"/>
    </row>
    <row r="144" spans="1:42" x14ac:dyDescent="0.3">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v>3.5999999999999997E-2</v>
      </c>
      <c r="X144" s="691">
        <v>0.9</v>
      </c>
      <c r="Y144" s="691">
        <v>0.9</v>
      </c>
      <c r="Z144" s="588"/>
      <c r="AA144" s="588"/>
      <c r="AB144" s="588"/>
      <c r="AC144" s="588"/>
      <c r="AD144" s="147"/>
      <c r="AE144" s="588"/>
      <c r="AF144" s="94"/>
      <c r="AG144" s="14"/>
      <c r="AH144" s="62"/>
      <c r="AI144" s="62"/>
      <c r="AJ144" s="14"/>
      <c r="AK144" s="62"/>
      <c r="AL144" s="14"/>
      <c r="AM144" s="14"/>
      <c r="AN144" s="14"/>
      <c r="AO144" s="14"/>
      <c r="AP144" s="14"/>
    </row>
    <row r="145" spans="1:42" x14ac:dyDescent="0.3">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v>3.2000000000000001E-2</v>
      </c>
      <c r="X145" s="691">
        <v>0.9</v>
      </c>
      <c r="Y145" s="691">
        <v>0.9</v>
      </c>
      <c r="Z145" s="588"/>
      <c r="AA145" s="588"/>
      <c r="AB145" s="588"/>
      <c r="AC145" s="588"/>
      <c r="AD145" s="147"/>
      <c r="AE145" s="588"/>
      <c r="AF145" s="94"/>
      <c r="AG145" s="14"/>
      <c r="AH145" s="62"/>
      <c r="AI145" s="62"/>
      <c r="AJ145" s="14"/>
      <c r="AK145" s="62"/>
      <c r="AL145" s="14"/>
      <c r="AM145" s="14"/>
      <c r="AN145" s="14"/>
      <c r="AO145" s="14"/>
      <c r="AP145" s="14"/>
    </row>
    <row r="146" spans="1:42" x14ac:dyDescent="0.3">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v>2.8000000000000001E-2</v>
      </c>
      <c r="X146" s="691">
        <v>0.9</v>
      </c>
      <c r="Y146" s="691">
        <v>0.9</v>
      </c>
      <c r="Z146" s="588"/>
      <c r="AA146" s="588"/>
      <c r="AB146" s="588"/>
      <c r="AC146" s="588"/>
      <c r="AD146" s="147"/>
      <c r="AE146" s="588"/>
      <c r="AF146" s="94"/>
      <c r="AG146" s="14"/>
      <c r="AH146" s="62"/>
      <c r="AI146" s="62"/>
      <c r="AJ146" s="14"/>
      <c r="AK146" s="62"/>
      <c r="AL146" s="14"/>
      <c r="AM146" s="14"/>
      <c r="AN146" s="14"/>
      <c r="AO146" s="14"/>
      <c r="AP146" s="14"/>
    </row>
    <row r="147" spans="1:42" x14ac:dyDescent="0.3">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v>2.4E-2</v>
      </c>
      <c r="X147" s="691">
        <v>0.9</v>
      </c>
      <c r="Y147" s="691">
        <v>0.9</v>
      </c>
      <c r="Z147" s="588"/>
      <c r="AA147" s="588"/>
      <c r="AB147" s="588"/>
      <c r="AC147" s="588"/>
      <c r="AD147" s="147"/>
      <c r="AE147" s="588"/>
      <c r="AF147" s="94"/>
      <c r="AG147" s="14"/>
      <c r="AH147" s="62"/>
      <c r="AI147" s="62"/>
      <c r="AJ147" s="14"/>
      <c r="AK147" s="62"/>
      <c r="AL147" s="14"/>
      <c r="AM147" s="14"/>
      <c r="AN147" s="14"/>
      <c r="AO147" s="14"/>
      <c r="AP147" s="14"/>
    </row>
    <row r="148" spans="1:42" x14ac:dyDescent="0.3">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v>0.02</v>
      </c>
      <c r="X148" s="691">
        <v>0.9</v>
      </c>
      <c r="Y148" s="691">
        <v>0.9</v>
      </c>
      <c r="Z148" s="588"/>
      <c r="AA148" s="588"/>
      <c r="AB148" s="588"/>
      <c r="AC148" s="588"/>
      <c r="AD148" s="147"/>
      <c r="AE148" s="588"/>
      <c r="AF148" s="94"/>
      <c r="AG148" s="14"/>
      <c r="AH148" s="62"/>
      <c r="AI148" s="62"/>
      <c r="AJ148" s="14"/>
      <c r="AK148" s="62"/>
      <c r="AL148" s="14"/>
      <c r="AM148" s="14"/>
      <c r="AN148" s="14"/>
      <c r="AO148" s="14"/>
      <c r="AP148" s="14"/>
    </row>
    <row r="149" spans="1:42" x14ac:dyDescent="0.3">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v>1.6E-2</v>
      </c>
      <c r="X149" s="691">
        <v>0.9</v>
      </c>
      <c r="Y149" s="691">
        <v>0.9</v>
      </c>
      <c r="Z149" s="588"/>
      <c r="AA149" s="588"/>
      <c r="AB149" s="588"/>
      <c r="AC149" s="588"/>
      <c r="AD149" s="147"/>
      <c r="AE149" s="588"/>
      <c r="AF149" s="94"/>
      <c r="AG149" s="14"/>
      <c r="AH149" s="62"/>
      <c r="AI149" s="62"/>
      <c r="AJ149" s="14"/>
      <c r="AK149" s="62"/>
      <c r="AL149" s="14"/>
      <c r="AM149" s="14"/>
      <c r="AN149" s="14"/>
      <c r="AO149" s="14"/>
      <c r="AP149" s="14"/>
    </row>
    <row r="150" spans="1:42" x14ac:dyDescent="0.3">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v>1.2E-2</v>
      </c>
      <c r="X150" s="691">
        <v>0.9</v>
      </c>
      <c r="Y150" s="691">
        <v>0.9</v>
      </c>
      <c r="Z150" s="588"/>
      <c r="AA150" s="588"/>
      <c r="AB150" s="588"/>
      <c r="AC150" s="588"/>
      <c r="AD150" s="147"/>
      <c r="AE150" s="588"/>
      <c r="AF150" s="94"/>
      <c r="AG150" s="14"/>
      <c r="AH150" s="62"/>
      <c r="AI150" s="62"/>
      <c r="AJ150" s="14"/>
      <c r="AK150" s="62"/>
      <c r="AL150" s="14"/>
      <c r="AM150" s="14"/>
      <c r="AN150" s="14"/>
      <c r="AO150" s="14"/>
      <c r="AP150" s="14"/>
    </row>
    <row r="151" spans="1:42" x14ac:dyDescent="0.3">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v>8.0000000000000002E-3</v>
      </c>
      <c r="X151" s="691">
        <v>0.9</v>
      </c>
      <c r="Y151" s="691">
        <v>0.9</v>
      </c>
      <c r="Z151" s="588"/>
      <c r="AA151" s="588"/>
      <c r="AB151" s="588"/>
      <c r="AC151" s="588"/>
      <c r="AD151" s="147"/>
      <c r="AE151" s="588"/>
      <c r="AF151" s="94"/>
      <c r="AG151" s="14"/>
      <c r="AH151" s="62"/>
      <c r="AI151" s="62"/>
      <c r="AJ151" s="14"/>
      <c r="AK151" s="62"/>
      <c r="AL151" s="14"/>
      <c r="AM151" s="14"/>
      <c r="AN151" s="14"/>
      <c r="AO151" s="14"/>
      <c r="AP151" s="14"/>
    </row>
    <row r="152" spans="1:42" x14ac:dyDescent="0.3">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v>4.0000000000000001E-3</v>
      </c>
      <c r="X152" s="691">
        <v>0.9</v>
      </c>
      <c r="Y152" s="691">
        <v>0.9</v>
      </c>
      <c r="Z152" s="588"/>
      <c r="AA152" s="588"/>
      <c r="AB152" s="588"/>
      <c r="AC152" s="588"/>
      <c r="AD152" s="147"/>
      <c r="AE152" s="588"/>
      <c r="AF152" s="94"/>
      <c r="AG152" s="14"/>
      <c r="AH152" s="62"/>
      <c r="AI152" s="62"/>
      <c r="AJ152" s="14"/>
      <c r="AK152" s="62"/>
      <c r="AL152" s="14"/>
      <c r="AM152" s="14"/>
      <c r="AN152" s="14"/>
      <c r="AO152" s="14"/>
      <c r="AP152" s="14"/>
    </row>
    <row r="153" spans="1:42" x14ac:dyDescent="0.3">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v>0</v>
      </c>
      <c r="X153" s="691">
        <v>0.9</v>
      </c>
      <c r="Y153" s="691">
        <v>0.9</v>
      </c>
      <c r="Z153" s="588"/>
      <c r="AA153" s="588"/>
      <c r="AB153" s="588"/>
      <c r="AC153" s="588"/>
      <c r="AD153" s="147"/>
      <c r="AE153" s="588"/>
      <c r="AF153" s="94"/>
      <c r="AG153" s="14"/>
      <c r="AH153" s="62"/>
      <c r="AI153" s="62"/>
      <c r="AJ153" s="14"/>
      <c r="AK153" s="62"/>
      <c r="AL153" s="14"/>
      <c r="AM153" s="14"/>
      <c r="AN153" s="14"/>
      <c r="AO153" s="14"/>
      <c r="AP153" s="14"/>
    </row>
    <row r="154" spans="1:42" x14ac:dyDescent="0.3">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3">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3">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3">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3">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3">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3">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3">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3">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3">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3">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3">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3">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3">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3">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3">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3">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3">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3">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3">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3">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3">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3">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3">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3">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3">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3">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3">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3">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3">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3">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3">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3">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3">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3">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3">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3">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3">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3">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3">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3">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3">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3">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3">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3">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3">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3">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3">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3">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3">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3">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3">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3">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3">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3">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3">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3">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3">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3">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3">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3">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3">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3">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3">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3">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3">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3">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3">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3">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3">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3">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3">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3">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3">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3">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3">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3">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3">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3">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3">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3">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3">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3">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3">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3">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3">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3">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3">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3">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3">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3">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3">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3">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3">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3">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3">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3">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3">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3">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3">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66"/>
  <sheetViews>
    <sheetView workbookViewId="0">
      <selection activeCell="D1" sqref="D1"/>
    </sheetView>
  </sheetViews>
  <sheetFormatPr defaultColWidth="9.1796875" defaultRowHeight="13" x14ac:dyDescent="0.3"/>
  <cols>
    <col min="1" max="1" width="14.453125" style="10" bestFit="1" customWidth="1"/>
    <col min="2" max="2" width="9.453125" style="10" customWidth="1"/>
    <col min="3" max="3" width="9" style="87" customWidth="1"/>
    <col min="4" max="4" width="4.453125" style="10" customWidth="1"/>
    <col min="5" max="5" width="9.81640625" style="10" customWidth="1"/>
    <col min="6" max="6" width="12.26953125" style="10" customWidth="1"/>
    <col min="7" max="7" width="13.1796875" style="10" customWidth="1"/>
    <col min="8" max="8" width="15.7265625" style="10" customWidth="1"/>
    <col min="9" max="16384" width="9.1796875" style="10"/>
  </cols>
  <sheetData>
    <row r="1" spans="1:8" ht="25.5" customHeight="1" x14ac:dyDescent="0.3">
      <c r="B1" s="50" t="s">
        <v>29</v>
      </c>
      <c r="C1" s="50" t="s">
        <v>30</v>
      </c>
      <c r="E1" s="50" t="s">
        <v>113</v>
      </c>
      <c r="F1" s="697" t="s">
        <v>1318</v>
      </c>
      <c r="G1" s="267" t="s">
        <v>65</v>
      </c>
      <c r="H1" s="268" t="s">
        <v>741</v>
      </c>
    </row>
    <row r="2" spans="1:8" x14ac:dyDescent="0.3">
      <c r="A2" s="50" t="s">
        <v>744</v>
      </c>
      <c r="B2" s="50">
        <f>ROUND(Hearing!C24,0)</f>
        <v>0</v>
      </c>
      <c r="C2" s="50">
        <f>ROUND(Hearing!F24,0)</f>
        <v>0</v>
      </c>
      <c r="E2" s="155">
        <f ca="1">TODAY()</f>
        <v>45833</v>
      </c>
      <c r="F2" s="698" t="str">
        <f>IF('Start here'!A9="","",'Start here'!A9)</f>
        <v/>
      </c>
      <c r="G2" s="698">
        <f>Hearing!F12</f>
        <v>0</v>
      </c>
      <c r="H2" s="698">
        <f>Hearing!L12</f>
        <v>0</v>
      </c>
    </row>
    <row r="3" spans="1:8" x14ac:dyDescent="0.3">
      <c r="A3" s="50" t="s">
        <v>745</v>
      </c>
      <c r="B3" s="588">
        <f>IF(B2&lt;150,0,VLOOKUP(B2,A11:B711,2))</f>
        <v>0</v>
      </c>
      <c r="C3" s="588">
        <f>IF(C2&lt;150,0,VLOOKUP(C2,A11:B711,2))</f>
        <v>0</v>
      </c>
      <c r="E3" s="101"/>
    </row>
    <row r="4" spans="1:8" x14ac:dyDescent="0.3">
      <c r="C4" s="10"/>
      <c r="G4" s="927" t="s">
        <v>2311</v>
      </c>
      <c r="H4" s="927" t="s">
        <v>2312</v>
      </c>
    </row>
    <row r="5" spans="1:8" x14ac:dyDescent="0.3">
      <c r="A5" s="50" t="s">
        <v>746</v>
      </c>
      <c r="B5" s="50">
        <f>ROUND(Hearing!I24,0)</f>
        <v>0</v>
      </c>
      <c r="C5" s="50">
        <f>ROUND(Hearing!L24,0)</f>
        <v>0</v>
      </c>
      <c r="G5" s="927"/>
      <c r="H5" s="927"/>
    </row>
    <row r="6" spans="1:8" x14ac:dyDescent="0.3">
      <c r="A6" s="50" t="s">
        <v>745</v>
      </c>
      <c r="B6" s="588">
        <f>IF(B5&lt;150,0,VLOOKUP(B5,A11:B711,2))</f>
        <v>0</v>
      </c>
      <c r="C6" s="588">
        <f>IF(C5&lt;150,0,VLOOKUP(C5,A11:B711,2))</f>
        <v>0</v>
      </c>
      <c r="G6" s="562">
        <f>IF(Hearing!F5="",Hearing!F11,DATEDIF(F2,G2,"y"))</f>
        <v>0</v>
      </c>
      <c r="H6" s="699">
        <f>IF(Hearing!F5="",Hearing!L11,DATEDIF(F2,H2,"y"))</f>
        <v>0</v>
      </c>
    </row>
    <row r="8" spans="1:8" x14ac:dyDescent="0.3">
      <c r="G8" s="50" t="s">
        <v>149</v>
      </c>
      <c r="H8" s="50" t="s">
        <v>151</v>
      </c>
    </row>
    <row r="9" spans="1:8" x14ac:dyDescent="0.3">
      <c r="A9" s="1698" t="s">
        <v>2314</v>
      </c>
      <c r="B9" s="1698"/>
      <c r="G9" s="50" t="s">
        <v>150</v>
      </c>
      <c r="H9" s="50" t="s">
        <v>150</v>
      </c>
    </row>
    <row r="10" spans="1:8" x14ac:dyDescent="0.3">
      <c r="A10" s="701" t="s">
        <v>742</v>
      </c>
      <c r="B10" s="563" t="s">
        <v>743</v>
      </c>
      <c r="G10" s="50">
        <f>IF(G6=0,0,IF(Hearing!$S$5=1,VLOOKUP(G6,$E$15:$G$114,2),IF(Hearing!$S$5=2,VLOOKUP(G6,$E$15:$G$114,3),0)))</f>
        <v>0</v>
      </c>
      <c r="H10" s="50">
        <f>IF(H6=0,0,IF(Hearing!$S$5=1,VLOOKUP(H6,$E$15:$G$114,2),IF(Hearing!$S$5=2,VLOOKUP(H6,$E$15:$G$114,3),0)))</f>
        <v>0</v>
      </c>
    </row>
    <row r="11" spans="1:8" x14ac:dyDescent="0.3">
      <c r="A11" s="50">
        <v>0</v>
      </c>
      <c r="B11" s="588">
        <v>0</v>
      </c>
    </row>
    <row r="12" spans="1:8" x14ac:dyDescent="0.3">
      <c r="A12" s="50">
        <v>1</v>
      </c>
      <c r="B12" s="588">
        <v>0</v>
      </c>
      <c r="E12" s="700" t="s">
        <v>2310</v>
      </c>
      <c r="F12" s="700"/>
      <c r="G12" s="700"/>
    </row>
    <row r="13" spans="1:8" x14ac:dyDescent="0.3">
      <c r="A13" s="50">
        <v>2</v>
      </c>
      <c r="B13" s="588">
        <v>0</v>
      </c>
      <c r="E13" s="700"/>
      <c r="F13" s="700"/>
      <c r="G13" s="700"/>
    </row>
    <row r="14" spans="1:8" x14ac:dyDescent="0.3">
      <c r="A14" s="50">
        <v>3</v>
      </c>
      <c r="B14" s="588">
        <v>0</v>
      </c>
      <c r="E14" s="50" t="s">
        <v>1407</v>
      </c>
      <c r="F14" s="50" t="s">
        <v>1408</v>
      </c>
      <c r="G14" s="585" t="s">
        <v>1409</v>
      </c>
    </row>
    <row r="15" spans="1:8" x14ac:dyDescent="0.3">
      <c r="A15" s="50">
        <v>4</v>
      </c>
      <c r="B15" s="588">
        <v>0</v>
      </c>
      <c r="E15" s="50">
        <v>1</v>
      </c>
      <c r="F15" s="50">
        <v>0</v>
      </c>
      <c r="G15" s="585">
        <v>0</v>
      </c>
    </row>
    <row r="16" spans="1:8" x14ac:dyDescent="0.3">
      <c r="A16" s="50">
        <v>5</v>
      </c>
      <c r="B16" s="588">
        <v>0</v>
      </c>
      <c r="E16" s="50">
        <v>2</v>
      </c>
      <c r="F16" s="50">
        <v>0</v>
      </c>
      <c r="G16" s="585">
        <v>0</v>
      </c>
    </row>
    <row r="17" spans="1:7" x14ac:dyDescent="0.3">
      <c r="A17" s="50">
        <v>6</v>
      </c>
      <c r="B17" s="588">
        <v>0</v>
      </c>
      <c r="E17" s="50">
        <v>3</v>
      </c>
      <c r="F17" s="50">
        <v>0</v>
      </c>
      <c r="G17" s="585">
        <v>0</v>
      </c>
    </row>
    <row r="18" spans="1:7" x14ac:dyDescent="0.3">
      <c r="A18" s="50">
        <v>7</v>
      </c>
      <c r="B18" s="588">
        <v>0</v>
      </c>
      <c r="E18" s="50">
        <v>4</v>
      </c>
      <c r="F18" s="50">
        <v>0</v>
      </c>
      <c r="G18" s="585">
        <v>0</v>
      </c>
    </row>
    <row r="19" spans="1:7" x14ac:dyDescent="0.3">
      <c r="A19" s="50">
        <v>8</v>
      </c>
      <c r="B19" s="588">
        <v>0</v>
      </c>
      <c r="E19" s="50">
        <v>5</v>
      </c>
      <c r="F19" s="50">
        <v>0</v>
      </c>
      <c r="G19" s="585">
        <v>0</v>
      </c>
    </row>
    <row r="20" spans="1:7" x14ac:dyDescent="0.3">
      <c r="A20" s="50">
        <v>9</v>
      </c>
      <c r="B20" s="588">
        <v>0</v>
      </c>
      <c r="E20" s="50">
        <v>6</v>
      </c>
      <c r="F20" s="50">
        <v>0</v>
      </c>
      <c r="G20" s="585">
        <v>0</v>
      </c>
    </row>
    <row r="21" spans="1:7" x14ac:dyDescent="0.3">
      <c r="A21" s="50">
        <v>10</v>
      </c>
      <c r="B21" s="588">
        <v>0</v>
      </c>
      <c r="E21" s="50">
        <v>7</v>
      </c>
      <c r="F21" s="50">
        <v>0</v>
      </c>
      <c r="G21" s="585">
        <v>0</v>
      </c>
    </row>
    <row r="22" spans="1:7" x14ac:dyDescent="0.3">
      <c r="A22" s="50">
        <v>11</v>
      </c>
      <c r="B22" s="588">
        <v>0</v>
      </c>
      <c r="E22" s="50">
        <v>8</v>
      </c>
      <c r="F22" s="50">
        <v>0</v>
      </c>
      <c r="G22" s="585">
        <v>0</v>
      </c>
    </row>
    <row r="23" spans="1:7" x14ac:dyDescent="0.3">
      <c r="A23" s="50">
        <v>12</v>
      </c>
      <c r="B23" s="588">
        <v>0</v>
      </c>
      <c r="E23" s="50">
        <v>9</v>
      </c>
      <c r="F23" s="50">
        <v>0</v>
      </c>
      <c r="G23" s="585">
        <v>0</v>
      </c>
    </row>
    <row r="24" spans="1:7" x14ac:dyDescent="0.3">
      <c r="A24" s="50">
        <v>13</v>
      </c>
      <c r="B24" s="588">
        <v>0</v>
      </c>
      <c r="E24" s="50">
        <v>10</v>
      </c>
      <c r="F24" s="50">
        <v>0</v>
      </c>
      <c r="G24" s="585">
        <v>0</v>
      </c>
    </row>
    <row r="25" spans="1:7" x14ac:dyDescent="0.3">
      <c r="A25" s="50">
        <v>14</v>
      </c>
      <c r="B25" s="588">
        <v>0</v>
      </c>
      <c r="E25" s="50">
        <v>11</v>
      </c>
      <c r="F25" s="50">
        <v>0</v>
      </c>
      <c r="G25" s="585">
        <v>0</v>
      </c>
    </row>
    <row r="26" spans="1:7" x14ac:dyDescent="0.3">
      <c r="A26" s="50">
        <v>15</v>
      </c>
      <c r="B26" s="588">
        <v>0</v>
      </c>
      <c r="E26" s="50">
        <v>12</v>
      </c>
      <c r="F26" s="50">
        <v>0</v>
      </c>
      <c r="G26" s="585">
        <v>0</v>
      </c>
    </row>
    <row r="27" spans="1:7" x14ac:dyDescent="0.3">
      <c r="A27" s="50">
        <v>16</v>
      </c>
      <c r="B27" s="588">
        <v>0</v>
      </c>
      <c r="E27" s="50">
        <v>13</v>
      </c>
      <c r="F27" s="50">
        <v>0</v>
      </c>
      <c r="G27" s="585">
        <v>0</v>
      </c>
    </row>
    <row r="28" spans="1:7" x14ac:dyDescent="0.3">
      <c r="A28" s="50">
        <v>17</v>
      </c>
      <c r="B28" s="588">
        <v>0</v>
      </c>
      <c r="E28" s="50">
        <v>14</v>
      </c>
      <c r="F28" s="50">
        <v>0</v>
      </c>
      <c r="G28" s="585">
        <v>0</v>
      </c>
    </row>
    <row r="29" spans="1:7" x14ac:dyDescent="0.3">
      <c r="A29" s="50">
        <v>18</v>
      </c>
      <c r="B29" s="588">
        <v>0</v>
      </c>
      <c r="E29" s="50">
        <v>15</v>
      </c>
      <c r="F29" s="50">
        <v>0</v>
      </c>
      <c r="G29" s="585">
        <v>0</v>
      </c>
    </row>
    <row r="30" spans="1:7" x14ac:dyDescent="0.3">
      <c r="A30" s="50">
        <v>19</v>
      </c>
      <c r="B30" s="588">
        <v>0</v>
      </c>
      <c r="E30" s="50">
        <v>16</v>
      </c>
      <c r="F30" s="50">
        <v>0</v>
      </c>
      <c r="G30" s="585">
        <v>0</v>
      </c>
    </row>
    <row r="31" spans="1:7" x14ac:dyDescent="0.3">
      <c r="A31" s="50">
        <v>20</v>
      </c>
      <c r="B31" s="588">
        <v>0</v>
      </c>
      <c r="E31" s="50">
        <v>17</v>
      </c>
      <c r="F31" s="50">
        <v>0</v>
      </c>
      <c r="G31" s="585">
        <v>0</v>
      </c>
    </row>
    <row r="32" spans="1:7" x14ac:dyDescent="0.3">
      <c r="A32" s="50">
        <v>21</v>
      </c>
      <c r="B32" s="588">
        <v>0</v>
      </c>
      <c r="E32" s="50">
        <v>18</v>
      </c>
      <c r="F32" s="50">
        <v>0</v>
      </c>
      <c r="G32" s="585">
        <v>0</v>
      </c>
    </row>
    <row r="33" spans="1:7" x14ac:dyDescent="0.3">
      <c r="A33" s="50">
        <v>22</v>
      </c>
      <c r="B33" s="588">
        <v>0</v>
      </c>
      <c r="E33" s="50">
        <v>19</v>
      </c>
      <c r="F33" s="50">
        <v>0</v>
      </c>
      <c r="G33" s="585">
        <v>0</v>
      </c>
    </row>
    <row r="34" spans="1:7" x14ac:dyDescent="0.3">
      <c r="A34" s="50">
        <v>23</v>
      </c>
      <c r="B34" s="588">
        <v>0</v>
      </c>
      <c r="E34" s="50">
        <v>20</v>
      </c>
      <c r="F34" s="50">
        <v>0</v>
      </c>
      <c r="G34" s="585">
        <v>0</v>
      </c>
    </row>
    <row r="35" spans="1:7" x14ac:dyDescent="0.3">
      <c r="A35" s="50">
        <v>24</v>
      </c>
      <c r="B35" s="588">
        <v>0</v>
      </c>
      <c r="E35" s="50">
        <v>21</v>
      </c>
      <c r="F35" s="50">
        <v>1</v>
      </c>
      <c r="G35" s="585">
        <v>0</v>
      </c>
    </row>
    <row r="36" spans="1:7" x14ac:dyDescent="0.3">
      <c r="A36" s="50">
        <v>25</v>
      </c>
      <c r="B36" s="588">
        <v>0</v>
      </c>
      <c r="E36" s="50">
        <v>22</v>
      </c>
      <c r="F36" s="50">
        <v>1</v>
      </c>
      <c r="G36" s="585">
        <v>1</v>
      </c>
    </row>
    <row r="37" spans="1:7" x14ac:dyDescent="0.3">
      <c r="A37" s="50">
        <v>26</v>
      </c>
      <c r="B37" s="588">
        <v>0</v>
      </c>
      <c r="E37" s="50">
        <v>23</v>
      </c>
      <c r="F37" s="50">
        <v>2</v>
      </c>
      <c r="G37" s="585">
        <v>1</v>
      </c>
    </row>
    <row r="38" spans="1:7" x14ac:dyDescent="0.3">
      <c r="A38" s="50">
        <v>27</v>
      </c>
      <c r="B38" s="588">
        <v>0</v>
      </c>
      <c r="E38" s="50">
        <v>24</v>
      </c>
      <c r="F38" s="50">
        <v>2</v>
      </c>
      <c r="G38" s="585">
        <v>2</v>
      </c>
    </row>
    <row r="39" spans="1:7" x14ac:dyDescent="0.3">
      <c r="A39" s="50">
        <v>28</v>
      </c>
      <c r="B39" s="588">
        <v>0</v>
      </c>
      <c r="E39" s="50">
        <v>25</v>
      </c>
      <c r="F39" s="50">
        <v>3</v>
      </c>
      <c r="G39" s="585">
        <v>2</v>
      </c>
    </row>
    <row r="40" spans="1:7" x14ac:dyDescent="0.3">
      <c r="A40" s="50">
        <v>29</v>
      </c>
      <c r="B40" s="588">
        <v>0</v>
      </c>
      <c r="E40" s="50">
        <v>26</v>
      </c>
      <c r="F40" s="50">
        <v>4</v>
      </c>
      <c r="G40" s="585">
        <v>3</v>
      </c>
    </row>
    <row r="41" spans="1:7" x14ac:dyDescent="0.3">
      <c r="A41" s="50">
        <v>30</v>
      </c>
      <c r="B41" s="588">
        <v>0</v>
      </c>
      <c r="E41" s="50">
        <v>27</v>
      </c>
      <c r="F41" s="50">
        <v>5</v>
      </c>
      <c r="G41" s="585">
        <v>3</v>
      </c>
    </row>
    <row r="42" spans="1:7" x14ac:dyDescent="0.3">
      <c r="A42" s="50">
        <v>31</v>
      </c>
      <c r="B42" s="588">
        <v>0</v>
      </c>
      <c r="E42" s="50">
        <v>28</v>
      </c>
      <c r="F42" s="50">
        <v>6</v>
      </c>
      <c r="G42" s="585">
        <v>4</v>
      </c>
    </row>
    <row r="43" spans="1:7" x14ac:dyDescent="0.3">
      <c r="A43" s="50">
        <v>32</v>
      </c>
      <c r="B43" s="588">
        <v>0</v>
      </c>
      <c r="E43" s="50">
        <v>29</v>
      </c>
      <c r="F43" s="50">
        <v>7</v>
      </c>
      <c r="G43" s="585">
        <v>5</v>
      </c>
    </row>
    <row r="44" spans="1:7" x14ac:dyDescent="0.3">
      <c r="A44" s="50">
        <v>33</v>
      </c>
      <c r="B44" s="588">
        <v>0</v>
      </c>
      <c r="E44" s="50">
        <v>30</v>
      </c>
      <c r="F44" s="50">
        <v>9</v>
      </c>
      <c r="G44" s="585">
        <v>6</v>
      </c>
    </row>
    <row r="45" spans="1:7" x14ac:dyDescent="0.3">
      <c r="A45" s="50">
        <v>34</v>
      </c>
      <c r="B45" s="588">
        <v>0</v>
      </c>
      <c r="E45" s="50">
        <v>31</v>
      </c>
      <c r="F45" s="50">
        <v>10</v>
      </c>
      <c r="G45" s="585">
        <v>7</v>
      </c>
    </row>
    <row r="46" spans="1:7" x14ac:dyDescent="0.3">
      <c r="A46" s="50">
        <v>35</v>
      </c>
      <c r="B46" s="588">
        <v>0</v>
      </c>
      <c r="E46" s="50">
        <v>32</v>
      </c>
      <c r="F46" s="50">
        <v>12</v>
      </c>
      <c r="G46" s="585">
        <v>8</v>
      </c>
    </row>
    <row r="47" spans="1:7" x14ac:dyDescent="0.3">
      <c r="A47" s="50">
        <v>36</v>
      </c>
      <c r="B47" s="588">
        <v>0</v>
      </c>
      <c r="E47" s="50">
        <v>33</v>
      </c>
      <c r="F47" s="50">
        <v>14</v>
      </c>
      <c r="G47" s="585">
        <v>9</v>
      </c>
    </row>
    <row r="48" spans="1:7" x14ac:dyDescent="0.3">
      <c r="A48" s="50">
        <v>37</v>
      </c>
      <c r="B48" s="588">
        <v>0</v>
      </c>
      <c r="E48" s="50">
        <v>34</v>
      </c>
      <c r="F48" s="50">
        <v>15</v>
      </c>
      <c r="G48" s="585">
        <v>11</v>
      </c>
    </row>
    <row r="49" spans="1:7" x14ac:dyDescent="0.3">
      <c r="A49" s="50">
        <v>38</v>
      </c>
      <c r="B49" s="588">
        <v>0</v>
      </c>
      <c r="E49" s="50">
        <v>35</v>
      </c>
      <c r="F49" s="50">
        <v>17</v>
      </c>
      <c r="G49" s="585">
        <v>12</v>
      </c>
    </row>
    <row r="50" spans="1:7" x14ac:dyDescent="0.3">
      <c r="A50" s="50">
        <v>39</v>
      </c>
      <c r="B50" s="588">
        <v>0</v>
      </c>
      <c r="E50" s="50">
        <v>36</v>
      </c>
      <c r="F50" s="50">
        <v>19</v>
      </c>
      <c r="G50" s="585">
        <v>14</v>
      </c>
    </row>
    <row r="51" spans="1:7" x14ac:dyDescent="0.3">
      <c r="A51" s="50">
        <v>40</v>
      </c>
      <c r="B51" s="588">
        <v>0</v>
      </c>
      <c r="E51" s="50">
        <v>37</v>
      </c>
      <c r="F51" s="50">
        <v>22</v>
      </c>
      <c r="G51" s="585">
        <v>15</v>
      </c>
    </row>
    <row r="52" spans="1:7" x14ac:dyDescent="0.3">
      <c r="A52" s="50">
        <v>41</v>
      </c>
      <c r="B52" s="588">
        <v>0</v>
      </c>
      <c r="E52" s="50">
        <v>38</v>
      </c>
      <c r="F52" s="50">
        <v>24</v>
      </c>
      <c r="G52" s="585">
        <v>17</v>
      </c>
    </row>
    <row r="53" spans="1:7" x14ac:dyDescent="0.3">
      <c r="A53" s="50">
        <v>42</v>
      </c>
      <c r="B53" s="588">
        <v>0</v>
      </c>
      <c r="E53" s="50">
        <v>39</v>
      </c>
      <c r="F53" s="50">
        <v>26</v>
      </c>
      <c r="G53" s="585">
        <v>19</v>
      </c>
    </row>
    <row r="54" spans="1:7" x14ac:dyDescent="0.3">
      <c r="A54" s="50">
        <v>43</v>
      </c>
      <c r="B54" s="588">
        <v>0</v>
      </c>
      <c r="E54" s="50">
        <v>40</v>
      </c>
      <c r="F54" s="50">
        <v>29</v>
      </c>
      <c r="G54" s="585">
        <v>20</v>
      </c>
    </row>
    <row r="55" spans="1:7" x14ac:dyDescent="0.3">
      <c r="A55" s="50">
        <v>44</v>
      </c>
      <c r="B55" s="588">
        <v>0</v>
      </c>
      <c r="E55" s="50">
        <v>41</v>
      </c>
      <c r="F55" s="50">
        <v>32</v>
      </c>
      <c r="G55" s="585">
        <v>22</v>
      </c>
    </row>
    <row r="56" spans="1:7" x14ac:dyDescent="0.3">
      <c r="A56" s="50">
        <v>45</v>
      </c>
      <c r="B56" s="588">
        <v>0</v>
      </c>
      <c r="E56" s="50">
        <v>42</v>
      </c>
      <c r="F56" s="50">
        <v>35</v>
      </c>
      <c r="G56" s="585">
        <v>24</v>
      </c>
    </row>
    <row r="57" spans="1:7" x14ac:dyDescent="0.3">
      <c r="A57" s="50">
        <v>46</v>
      </c>
      <c r="B57" s="588">
        <v>0</v>
      </c>
      <c r="E57" s="50">
        <v>43</v>
      </c>
      <c r="F57" s="50">
        <v>38</v>
      </c>
      <c r="G57" s="585">
        <v>26</v>
      </c>
    </row>
    <row r="58" spans="1:7" x14ac:dyDescent="0.3">
      <c r="A58" s="50">
        <v>47</v>
      </c>
      <c r="B58" s="588">
        <v>0</v>
      </c>
      <c r="E58" s="50">
        <v>44</v>
      </c>
      <c r="F58" s="50">
        <v>41</v>
      </c>
      <c r="G58" s="585">
        <v>28</v>
      </c>
    </row>
    <row r="59" spans="1:7" x14ac:dyDescent="0.3">
      <c r="A59" s="50">
        <v>48</v>
      </c>
      <c r="B59" s="588">
        <v>0</v>
      </c>
      <c r="E59" s="50">
        <v>45</v>
      </c>
      <c r="F59" s="50">
        <v>44</v>
      </c>
      <c r="G59" s="585">
        <v>31</v>
      </c>
    </row>
    <row r="60" spans="1:7" x14ac:dyDescent="0.3">
      <c r="A60" s="50">
        <v>49</v>
      </c>
      <c r="B60" s="588">
        <v>0</v>
      </c>
      <c r="E60" s="50">
        <v>46</v>
      </c>
      <c r="F60" s="50">
        <v>47</v>
      </c>
      <c r="G60" s="585">
        <v>33</v>
      </c>
    </row>
    <row r="61" spans="1:7" x14ac:dyDescent="0.3">
      <c r="A61" s="50">
        <v>50</v>
      </c>
      <c r="B61" s="588">
        <v>0</v>
      </c>
      <c r="E61" s="50">
        <v>47</v>
      </c>
      <c r="F61" s="50">
        <v>50</v>
      </c>
      <c r="G61" s="585">
        <v>35</v>
      </c>
    </row>
    <row r="62" spans="1:7" x14ac:dyDescent="0.3">
      <c r="A62" s="50">
        <v>51</v>
      </c>
      <c r="B62" s="588">
        <v>0</v>
      </c>
      <c r="E62" s="50">
        <v>48</v>
      </c>
      <c r="F62" s="50">
        <v>54</v>
      </c>
      <c r="G62" s="585">
        <v>38</v>
      </c>
    </row>
    <row r="63" spans="1:7" x14ac:dyDescent="0.3">
      <c r="A63" s="50">
        <v>52</v>
      </c>
      <c r="B63" s="588">
        <v>0</v>
      </c>
      <c r="E63" s="50">
        <v>49</v>
      </c>
      <c r="F63" s="50">
        <v>58</v>
      </c>
      <c r="G63" s="585">
        <v>40</v>
      </c>
    </row>
    <row r="64" spans="1:7" x14ac:dyDescent="0.3">
      <c r="A64" s="50">
        <v>53</v>
      </c>
      <c r="B64" s="588">
        <v>0</v>
      </c>
      <c r="E64" s="50">
        <v>50</v>
      </c>
      <c r="F64" s="50">
        <v>61</v>
      </c>
      <c r="G64" s="585">
        <v>43</v>
      </c>
    </row>
    <row r="65" spans="1:7" x14ac:dyDescent="0.3">
      <c r="A65" s="50">
        <v>54</v>
      </c>
      <c r="B65" s="588">
        <v>0</v>
      </c>
      <c r="E65" s="50">
        <v>51</v>
      </c>
      <c r="F65" s="50">
        <v>65</v>
      </c>
      <c r="G65" s="585">
        <v>46</v>
      </c>
    </row>
    <row r="66" spans="1:7" x14ac:dyDescent="0.3">
      <c r="A66" s="50">
        <v>55</v>
      </c>
      <c r="B66" s="588">
        <v>0</v>
      </c>
      <c r="E66" s="50">
        <v>52</v>
      </c>
      <c r="F66" s="50">
        <v>69</v>
      </c>
      <c r="G66" s="585">
        <v>49</v>
      </c>
    </row>
    <row r="67" spans="1:7" x14ac:dyDescent="0.3">
      <c r="A67" s="50">
        <v>56</v>
      </c>
      <c r="B67" s="588">
        <v>0</v>
      </c>
      <c r="E67" s="50">
        <v>53</v>
      </c>
      <c r="F67" s="50">
        <v>74</v>
      </c>
      <c r="G67" s="585">
        <v>51</v>
      </c>
    </row>
    <row r="68" spans="1:7" x14ac:dyDescent="0.3">
      <c r="A68" s="50">
        <v>57</v>
      </c>
      <c r="B68" s="588">
        <v>0</v>
      </c>
      <c r="E68" s="50">
        <v>54</v>
      </c>
      <c r="F68" s="50">
        <v>78</v>
      </c>
      <c r="G68" s="585">
        <v>54</v>
      </c>
    </row>
    <row r="69" spans="1:7" x14ac:dyDescent="0.3">
      <c r="A69" s="50">
        <v>58</v>
      </c>
      <c r="B69" s="588">
        <v>0</v>
      </c>
      <c r="E69" s="50">
        <v>55</v>
      </c>
      <c r="F69" s="50">
        <v>82</v>
      </c>
      <c r="G69" s="585">
        <v>57</v>
      </c>
    </row>
    <row r="70" spans="1:7" x14ac:dyDescent="0.3">
      <c r="A70" s="50">
        <v>59</v>
      </c>
      <c r="B70" s="588">
        <v>0</v>
      </c>
      <c r="E70" s="50">
        <v>56</v>
      </c>
      <c r="F70" s="50">
        <v>87</v>
      </c>
      <c r="G70" s="585">
        <v>61</v>
      </c>
    </row>
    <row r="71" spans="1:7" x14ac:dyDescent="0.3">
      <c r="A71" s="50">
        <v>60</v>
      </c>
      <c r="B71" s="588">
        <v>0</v>
      </c>
      <c r="E71" s="50">
        <v>57</v>
      </c>
      <c r="F71" s="50">
        <v>91</v>
      </c>
      <c r="G71" s="585">
        <v>64</v>
      </c>
    </row>
    <row r="72" spans="1:7" x14ac:dyDescent="0.3">
      <c r="A72" s="50">
        <v>61</v>
      </c>
      <c r="B72" s="588">
        <v>0</v>
      </c>
      <c r="E72" s="50">
        <v>58</v>
      </c>
      <c r="F72" s="50">
        <v>96</v>
      </c>
      <c r="G72" s="585">
        <v>67</v>
      </c>
    </row>
    <row r="73" spans="1:7" x14ac:dyDescent="0.3">
      <c r="A73" s="50">
        <v>62</v>
      </c>
      <c r="B73" s="588">
        <v>0</v>
      </c>
      <c r="E73" s="50">
        <v>59</v>
      </c>
      <c r="F73" s="50">
        <v>101</v>
      </c>
      <c r="G73" s="585">
        <v>71</v>
      </c>
    </row>
    <row r="74" spans="1:7" x14ac:dyDescent="0.3">
      <c r="A74" s="50">
        <v>63</v>
      </c>
      <c r="B74" s="588">
        <v>0</v>
      </c>
      <c r="E74" s="50">
        <v>60</v>
      </c>
      <c r="F74" s="50">
        <v>106</v>
      </c>
      <c r="G74" s="585">
        <v>74</v>
      </c>
    </row>
    <row r="75" spans="1:7" x14ac:dyDescent="0.3">
      <c r="A75" s="50">
        <v>64</v>
      </c>
      <c r="B75" s="588">
        <v>0</v>
      </c>
      <c r="E75" s="50">
        <v>61</v>
      </c>
      <c r="F75" s="50">
        <v>111</v>
      </c>
      <c r="G75" s="585">
        <v>78</v>
      </c>
    </row>
    <row r="76" spans="1:7" x14ac:dyDescent="0.3">
      <c r="A76" s="50">
        <v>65</v>
      </c>
      <c r="B76" s="588">
        <v>0</v>
      </c>
      <c r="E76" s="50">
        <v>62</v>
      </c>
      <c r="F76" s="50">
        <v>116</v>
      </c>
      <c r="G76" s="585">
        <v>81</v>
      </c>
    </row>
    <row r="77" spans="1:7" x14ac:dyDescent="0.3">
      <c r="A77" s="50">
        <v>66</v>
      </c>
      <c r="B77" s="588">
        <v>0</v>
      </c>
      <c r="E77" s="50">
        <v>63</v>
      </c>
      <c r="F77" s="50">
        <v>122</v>
      </c>
      <c r="G77" s="585">
        <v>85</v>
      </c>
    </row>
    <row r="78" spans="1:7" x14ac:dyDescent="0.3">
      <c r="A78" s="50">
        <v>67</v>
      </c>
      <c r="B78" s="588">
        <v>0</v>
      </c>
      <c r="E78" s="50">
        <v>64</v>
      </c>
      <c r="F78" s="50">
        <v>127</v>
      </c>
      <c r="G78" s="585">
        <v>89</v>
      </c>
    </row>
    <row r="79" spans="1:7" x14ac:dyDescent="0.3">
      <c r="A79" s="50">
        <v>68</v>
      </c>
      <c r="B79" s="588">
        <v>0</v>
      </c>
      <c r="E79" s="50">
        <v>65</v>
      </c>
      <c r="F79" s="50">
        <v>133</v>
      </c>
      <c r="G79" s="585">
        <v>93</v>
      </c>
    </row>
    <row r="80" spans="1:7" x14ac:dyDescent="0.3">
      <c r="A80" s="50">
        <v>69</v>
      </c>
      <c r="B80" s="588">
        <v>0</v>
      </c>
      <c r="E80" s="50">
        <v>66</v>
      </c>
      <c r="F80" s="50">
        <v>138</v>
      </c>
      <c r="G80" s="585">
        <v>97</v>
      </c>
    </row>
    <row r="81" spans="1:7" x14ac:dyDescent="0.3">
      <c r="A81" s="50">
        <v>70</v>
      </c>
      <c r="B81" s="588">
        <v>0</v>
      </c>
      <c r="E81" s="50">
        <v>67</v>
      </c>
      <c r="F81" s="50">
        <v>144</v>
      </c>
      <c r="G81" s="585">
        <v>101</v>
      </c>
    </row>
    <row r="82" spans="1:7" x14ac:dyDescent="0.3">
      <c r="A82" s="50">
        <v>71</v>
      </c>
      <c r="B82" s="588">
        <v>0</v>
      </c>
      <c r="E82" s="50">
        <v>68</v>
      </c>
      <c r="F82" s="50">
        <v>150</v>
      </c>
      <c r="G82" s="585">
        <v>105</v>
      </c>
    </row>
    <row r="83" spans="1:7" x14ac:dyDescent="0.3">
      <c r="A83" s="50">
        <v>72</v>
      </c>
      <c r="B83" s="588">
        <v>0</v>
      </c>
      <c r="E83" s="50">
        <v>69</v>
      </c>
      <c r="F83" s="50">
        <v>156</v>
      </c>
      <c r="G83" s="585">
        <v>109</v>
      </c>
    </row>
    <row r="84" spans="1:7" x14ac:dyDescent="0.3">
      <c r="A84" s="50">
        <v>73</v>
      </c>
      <c r="B84" s="588">
        <v>0</v>
      </c>
      <c r="E84" s="50">
        <v>70</v>
      </c>
      <c r="F84" s="50">
        <v>162</v>
      </c>
      <c r="G84" s="585">
        <v>114</v>
      </c>
    </row>
    <row r="85" spans="1:7" x14ac:dyDescent="0.3">
      <c r="A85" s="50">
        <v>74</v>
      </c>
      <c r="B85" s="588">
        <v>0</v>
      </c>
      <c r="E85" s="50">
        <v>71</v>
      </c>
      <c r="F85" s="50">
        <v>169</v>
      </c>
      <c r="G85" s="585">
        <v>118</v>
      </c>
    </row>
    <row r="86" spans="1:7" x14ac:dyDescent="0.3">
      <c r="A86" s="50">
        <v>75</v>
      </c>
      <c r="B86" s="588">
        <v>0</v>
      </c>
      <c r="E86" s="50">
        <v>72</v>
      </c>
      <c r="F86" s="50">
        <v>175</v>
      </c>
      <c r="G86" s="585">
        <v>122</v>
      </c>
    </row>
    <row r="87" spans="1:7" x14ac:dyDescent="0.3">
      <c r="A87" s="50">
        <v>76</v>
      </c>
      <c r="B87" s="588">
        <v>0</v>
      </c>
      <c r="E87" s="50">
        <v>73</v>
      </c>
      <c r="F87" s="50">
        <v>182</v>
      </c>
      <c r="G87" s="585">
        <v>127</v>
      </c>
    </row>
    <row r="88" spans="1:7" x14ac:dyDescent="0.3">
      <c r="A88" s="50">
        <v>77</v>
      </c>
      <c r="B88" s="588">
        <v>0</v>
      </c>
      <c r="E88" s="50">
        <v>74</v>
      </c>
      <c r="F88" s="50">
        <v>188</v>
      </c>
      <c r="G88" s="585">
        <v>132</v>
      </c>
    </row>
    <row r="89" spans="1:7" x14ac:dyDescent="0.3">
      <c r="A89" s="50">
        <v>78</v>
      </c>
      <c r="B89" s="588">
        <v>0</v>
      </c>
      <c r="E89" s="50">
        <v>75</v>
      </c>
      <c r="F89" s="50">
        <v>195</v>
      </c>
      <c r="G89" s="585">
        <v>136</v>
      </c>
    </row>
    <row r="90" spans="1:7" x14ac:dyDescent="0.3">
      <c r="A90" s="50">
        <v>79</v>
      </c>
      <c r="B90" s="588">
        <v>0</v>
      </c>
      <c r="E90" s="50">
        <v>76</v>
      </c>
      <c r="F90" s="50">
        <v>202</v>
      </c>
      <c r="G90" s="585">
        <v>141</v>
      </c>
    </row>
    <row r="91" spans="1:7" x14ac:dyDescent="0.3">
      <c r="A91" s="50">
        <v>80</v>
      </c>
      <c r="B91" s="588">
        <v>0</v>
      </c>
      <c r="E91" s="50">
        <v>77</v>
      </c>
      <c r="F91" s="50">
        <v>209</v>
      </c>
      <c r="G91" s="585">
        <v>146</v>
      </c>
    </row>
    <row r="92" spans="1:7" x14ac:dyDescent="0.3">
      <c r="A92" s="50">
        <v>81</v>
      </c>
      <c r="B92" s="588">
        <v>0</v>
      </c>
      <c r="E92" s="50">
        <v>78</v>
      </c>
      <c r="F92" s="50">
        <v>216</v>
      </c>
      <c r="G92" s="585">
        <v>151</v>
      </c>
    </row>
    <row r="93" spans="1:7" x14ac:dyDescent="0.3">
      <c r="A93" s="50">
        <v>82</v>
      </c>
      <c r="B93" s="588">
        <v>0</v>
      </c>
      <c r="E93" s="50">
        <v>79</v>
      </c>
      <c r="F93" s="50">
        <v>223</v>
      </c>
      <c r="G93" s="585">
        <v>156</v>
      </c>
    </row>
    <row r="94" spans="1:7" x14ac:dyDescent="0.3">
      <c r="A94" s="50">
        <v>83</v>
      </c>
      <c r="B94" s="588">
        <v>0</v>
      </c>
      <c r="E94" s="50">
        <v>80</v>
      </c>
      <c r="F94" s="50">
        <v>231</v>
      </c>
      <c r="G94" s="585">
        <v>161</v>
      </c>
    </row>
    <row r="95" spans="1:7" x14ac:dyDescent="0.3">
      <c r="A95" s="50">
        <v>84</v>
      </c>
      <c r="B95" s="588">
        <v>0</v>
      </c>
      <c r="E95" s="50">
        <v>81</v>
      </c>
      <c r="F95" s="50">
        <v>238</v>
      </c>
      <c r="G95" s="585">
        <v>167</v>
      </c>
    </row>
    <row r="96" spans="1:7" x14ac:dyDescent="0.3">
      <c r="A96" s="50">
        <v>85</v>
      </c>
      <c r="B96" s="588">
        <v>0</v>
      </c>
      <c r="E96" s="50">
        <v>82</v>
      </c>
      <c r="F96" s="50">
        <v>246</v>
      </c>
      <c r="G96" s="585">
        <v>172</v>
      </c>
    </row>
    <row r="97" spans="1:7" x14ac:dyDescent="0.3">
      <c r="A97" s="50">
        <v>86</v>
      </c>
      <c r="B97" s="588">
        <v>0</v>
      </c>
      <c r="E97" s="50">
        <v>83</v>
      </c>
      <c r="F97" s="50">
        <v>254</v>
      </c>
      <c r="G97" s="585">
        <v>177</v>
      </c>
    </row>
    <row r="98" spans="1:7" x14ac:dyDescent="0.3">
      <c r="A98" s="50">
        <v>87</v>
      </c>
      <c r="B98" s="588">
        <v>0</v>
      </c>
      <c r="E98" s="50">
        <v>84</v>
      </c>
      <c r="F98" s="50">
        <v>261</v>
      </c>
      <c r="G98" s="585">
        <v>183</v>
      </c>
    </row>
    <row r="99" spans="1:7" x14ac:dyDescent="0.3">
      <c r="A99" s="50">
        <v>88</v>
      </c>
      <c r="B99" s="588">
        <v>0</v>
      </c>
      <c r="E99" s="50">
        <v>85</v>
      </c>
      <c r="F99" s="50">
        <v>269</v>
      </c>
      <c r="G99" s="585">
        <v>189</v>
      </c>
    </row>
    <row r="100" spans="1:7" x14ac:dyDescent="0.3">
      <c r="A100" s="50">
        <v>89</v>
      </c>
      <c r="B100" s="588">
        <v>0</v>
      </c>
      <c r="E100" s="50">
        <v>86</v>
      </c>
      <c r="F100" s="50">
        <v>269</v>
      </c>
      <c r="G100" s="585">
        <v>189</v>
      </c>
    </row>
    <row r="101" spans="1:7" x14ac:dyDescent="0.3">
      <c r="A101" s="50">
        <v>90</v>
      </c>
      <c r="B101" s="588">
        <v>0</v>
      </c>
      <c r="E101" s="50">
        <v>87</v>
      </c>
      <c r="F101" s="50">
        <v>269</v>
      </c>
      <c r="G101" s="585">
        <v>189</v>
      </c>
    </row>
    <row r="102" spans="1:7" x14ac:dyDescent="0.3">
      <c r="A102" s="50">
        <v>91</v>
      </c>
      <c r="B102" s="588">
        <v>0</v>
      </c>
      <c r="E102" s="50">
        <v>88</v>
      </c>
      <c r="F102" s="50">
        <v>269</v>
      </c>
      <c r="G102" s="585">
        <v>189</v>
      </c>
    </row>
    <row r="103" spans="1:7" x14ac:dyDescent="0.3">
      <c r="A103" s="50">
        <v>92</v>
      </c>
      <c r="B103" s="588">
        <v>0</v>
      </c>
      <c r="E103" s="50">
        <v>89</v>
      </c>
      <c r="F103" s="50">
        <v>269</v>
      </c>
      <c r="G103" s="585">
        <v>189</v>
      </c>
    </row>
    <row r="104" spans="1:7" x14ac:dyDescent="0.3">
      <c r="A104" s="50">
        <v>93</v>
      </c>
      <c r="B104" s="588">
        <v>0</v>
      </c>
      <c r="E104" s="50">
        <v>90</v>
      </c>
      <c r="F104" s="50">
        <v>269</v>
      </c>
      <c r="G104" s="585">
        <v>189</v>
      </c>
    </row>
    <row r="105" spans="1:7" x14ac:dyDescent="0.3">
      <c r="A105" s="50">
        <v>94</v>
      </c>
      <c r="B105" s="588">
        <v>0</v>
      </c>
      <c r="E105" s="50">
        <v>91</v>
      </c>
      <c r="F105" s="50">
        <v>269</v>
      </c>
      <c r="G105" s="585">
        <v>189</v>
      </c>
    </row>
    <row r="106" spans="1:7" x14ac:dyDescent="0.3">
      <c r="A106" s="50">
        <v>95</v>
      </c>
      <c r="B106" s="588">
        <v>0</v>
      </c>
      <c r="E106" s="50">
        <v>92</v>
      </c>
      <c r="F106" s="50">
        <v>269</v>
      </c>
      <c r="G106" s="585">
        <v>189</v>
      </c>
    </row>
    <row r="107" spans="1:7" x14ac:dyDescent="0.3">
      <c r="A107" s="50">
        <v>96</v>
      </c>
      <c r="B107" s="588">
        <v>0</v>
      </c>
      <c r="E107" s="50">
        <v>93</v>
      </c>
      <c r="F107" s="50">
        <v>269</v>
      </c>
      <c r="G107" s="585">
        <v>189</v>
      </c>
    </row>
    <row r="108" spans="1:7" x14ac:dyDescent="0.3">
      <c r="A108" s="50">
        <v>97</v>
      </c>
      <c r="B108" s="588">
        <v>0</v>
      </c>
      <c r="E108" s="50">
        <v>94</v>
      </c>
      <c r="F108" s="50">
        <v>269</v>
      </c>
      <c r="G108" s="585">
        <v>189</v>
      </c>
    </row>
    <row r="109" spans="1:7" x14ac:dyDescent="0.3">
      <c r="A109" s="50">
        <v>98</v>
      </c>
      <c r="B109" s="588">
        <v>0</v>
      </c>
      <c r="E109" s="50">
        <v>95</v>
      </c>
      <c r="F109" s="50">
        <v>269</v>
      </c>
      <c r="G109" s="585">
        <v>189</v>
      </c>
    </row>
    <row r="110" spans="1:7" x14ac:dyDescent="0.3">
      <c r="A110" s="50">
        <v>99</v>
      </c>
      <c r="B110" s="588">
        <v>0</v>
      </c>
      <c r="E110" s="50">
        <v>96</v>
      </c>
      <c r="F110" s="50">
        <v>269</v>
      </c>
      <c r="G110" s="585">
        <v>189</v>
      </c>
    </row>
    <row r="111" spans="1:7" x14ac:dyDescent="0.3">
      <c r="A111" s="50">
        <v>100</v>
      </c>
      <c r="B111" s="588">
        <v>0</v>
      </c>
      <c r="E111" s="50">
        <v>97</v>
      </c>
      <c r="F111" s="50">
        <v>269</v>
      </c>
      <c r="G111" s="585">
        <v>189</v>
      </c>
    </row>
    <row r="112" spans="1:7" x14ac:dyDescent="0.3">
      <c r="A112" s="50">
        <v>101</v>
      </c>
      <c r="B112" s="588">
        <v>0</v>
      </c>
      <c r="E112" s="50">
        <v>98</v>
      </c>
      <c r="F112" s="50">
        <v>269</v>
      </c>
      <c r="G112" s="585">
        <v>189</v>
      </c>
    </row>
    <row r="113" spans="1:7" x14ac:dyDescent="0.3">
      <c r="A113" s="50">
        <v>102</v>
      </c>
      <c r="B113" s="588">
        <v>0</v>
      </c>
      <c r="E113" s="50">
        <v>99</v>
      </c>
      <c r="F113" s="50">
        <v>269</v>
      </c>
      <c r="G113" s="585">
        <v>189</v>
      </c>
    </row>
    <row r="114" spans="1:7" x14ac:dyDescent="0.3">
      <c r="A114" s="50">
        <v>103</v>
      </c>
      <c r="B114" s="588">
        <v>0</v>
      </c>
      <c r="E114" s="50">
        <v>100</v>
      </c>
      <c r="F114" s="50">
        <v>269</v>
      </c>
      <c r="G114" s="585">
        <v>189</v>
      </c>
    </row>
    <row r="115" spans="1:7" x14ac:dyDescent="0.3">
      <c r="A115" s="50">
        <v>104</v>
      </c>
      <c r="B115" s="588">
        <v>0</v>
      </c>
    </row>
    <row r="116" spans="1:7" x14ac:dyDescent="0.3">
      <c r="A116" s="50">
        <v>105</v>
      </c>
      <c r="B116" s="588">
        <v>0</v>
      </c>
    </row>
    <row r="117" spans="1:7" x14ac:dyDescent="0.3">
      <c r="A117" s="50">
        <v>106</v>
      </c>
      <c r="B117" s="588">
        <v>0</v>
      </c>
    </row>
    <row r="118" spans="1:7" x14ac:dyDescent="0.3">
      <c r="A118" s="50">
        <v>107</v>
      </c>
      <c r="B118" s="588">
        <v>0</v>
      </c>
    </row>
    <row r="119" spans="1:7" x14ac:dyDescent="0.3">
      <c r="A119" s="50">
        <v>108</v>
      </c>
      <c r="B119" s="588">
        <v>0</v>
      </c>
    </row>
    <row r="120" spans="1:7" x14ac:dyDescent="0.3">
      <c r="A120" s="50">
        <v>109</v>
      </c>
      <c r="B120" s="588">
        <v>0</v>
      </c>
    </row>
    <row r="121" spans="1:7" x14ac:dyDescent="0.3">
      <c r="A121" s="50">
        <v>110</v>
      </c>
      <c r="B121" s="588">
        <v>0</v>
      </c>
    </row>
    <row r="122" spans="1:7" x14ac:dyDescent="0.3">
      <c r="A122" s="50">
        <v>111</v>
      </c>
      <c r="B122" s="588">
        <v>0</v>
      </c>
    </row>
    <row r="123" spans="1:7" x14ac:dyDescent="0.3">
      <c r="A123" s="50">
        <v>112</v>
      </c>
      <c r="B123" s="588">
        <v>0</v>
      </c>
    </row>
    <row r="124" spans="1:7" x14ac:dyDescent="0.3">
      <c r="A124" s="50">
        <v>113</v>
      </c>
      <c r="B124" s="588">
        <v>0</v>
      </c>
    </row>
    <row r="125" spans="1:7" x14ac:dyDescent="0.3">
      <c r="A125" s="50">
        <v>114</v>
      </c>
      <c r="B125" s="588">
        <v>0</v>
      </c>
    </row>
    <row r="126" spans="1:7" x14ac:dyDescent="0.3">
      <c r="A126" s="50">
        <v>115</v>
      </c>
      <c r="B126" s="588">
        <v>0</v>
      </c>
    </row>
    <row r="127" spans="1:7" x14ac:dyDescent="0.3">
      <c r="A127" s="50">
        <v>116</v>
      </c>
      <c r="B127" s="588">
        <v>0</v>
      </c>
    </row>
    <row r="128" spans="1:7" x14ac:dyDescent="0.3">
      <c r="A128" s="50">
        <v>117</v>
      </c>
      <c r="B128" s="588">
        <v>0</v>
      </c>
    </row>
    <row r="129" spans="1:2" x14ac:dyDescent="0.3">
      <c r="A129" s="50">
        <v>118</v>
      </c>
      <c r="B129" s="588">
        <v>0</v>
      </c>
    </row>
    <row r="130" spans="1:2" x14ac:dyDescent="0.3">
      <c r="A130" s="50">
        <v>119</v>
      </c>
      <c r="B130" s="588">
        <v>0</v>
      </c>
    </row>
    <row r="131" spans="1:2" x14ac:dyDescent="0.3">
      <c r="A131" s="50">
        <v>120</v>
      </c>
      <c r="B131" s="588">
        <v>0</v>
      </c>
    </row>
    <row r="132" spans="1:2" x14ac:dyDescent="0.3">
      <c r="A132" s="50">
        <v>121</v>
      </c>
      <c r="B132" s="588">
        <v>0</v>
      </c>
    </row>
    <row r="133" spans="1:2" x14ac:dyDescent="0.3">
      <c r="A133" s="50">
        <v>122</v>
      </c>
      <c r="B133" s="588">
        <v>0</v>
      </c>
    </row>
    <row r="134" spans="1:2" x14ac:dyDescent="0.3">
      <c r="A134" s="50">
        <v>123</v>
      </c>
      <c r="B134" s="588">
        <v>0</v>
      </c>
    </row>
    <row r="135" spans="1:2" x14ac:dyDescent="0.3">
      <c r="A135" s="50">
        <v>124</v>
      </c>
      <c r="B135" s="588">
        <v>0</v>
      </c>
    </row>
    <row r="136" spans="1:2" x14ac:dyDescent="0.3">
      <c r="A136" s="50">
        <v>125</v>
      </c>
      <c r="B136" s="588">
        <v>0</v>
      </c>
    </row>
    <row r="137" spans="1:2" x14ac:dyDescent="0.3">
      <c r="A137" s="50">
        <v>126</v>
      </c>
      <c r="B137" s="588">
        <v>0</v>
      </c>
    </row>
    <row r="138" spans="1:2" x14ac:dyDescent="0.3">
      <c r="A138" s="50">
        <v>127</v>
      </c>
      <c r="B138" s="588">
        <v>0</v>
      </c>
    </row>
    <row r="139" spans="1:2" x14ac:dyDescent="0.3">
      <c r="A139" s="50">
        <v>128</v>
      </c>
      <c r="B139" s="588">
        <v>0</v>
      </c>
    </row>
    <row r="140" spans="1:2" x14ac:dyDescent="0.3">
      <c r="A140" s="50">
        <v>129</v>
      </c>
      <c r="B140" s="588">
        <v>0</v>
      </c>
    </row>
    <row r="141" spans="1:2" x14ac:dyDescent="0.3">
      <c r="A141" s="50">
        <v>130</v>
      </c>
      <c r="B141" s="588">
        <v>0</v>
      </c>
    </row>
    <row r="142" spans="1:2" x14ac:dyDescent="0.3">
      <c r="A142" s="50">
        <v>131</v>
      </c>
      <c r="B142" s="588">
        <v>0</v>
      </c>
    </row>
    <row r="143" spans="1:2" x14ac:dyDescent="0.3">
      <c r="A143" s="50">
        <v>132</v>
      </c>
      <c r="B143" s="588">
        <v>0</v>
      </c>
    </row>
    <row r="144" spans="1:2" x14ac:dyDescent="0.3">
      <c r="A144" s="50">
        <v>133</v>
      </c>
      <c r="B144" s="588">
        <v>0</v>
      </c>
    </row>
    <row r="145" spans="1:2" x14ac:dyDescent="0.3">
      <c r="A145" s="50">
        <v>134</v>
      </c>
      <c r="B145" s="588">
        <v>0</v>
      </c>
    </row>
    <row r="146" spans="1:2" x14ac:dyDescent="0.3">
      <c r="A146" s="50">
        <v>135</v>
      </c>
      <c r="B146" s="588">
        <v>0</v>
      </c>
    </row>
    <row r="147" spans="1:2" x14ac:dyDescent="0.3">
      <c r="A147" s="50">
        <v>136</v>
      </c>
      <c r="B147" s="588">
        <v>0</v>
      </c>
    </row>
    <row r="148" spans="1:2" x14ac:dyDescent="0.3">
      <c r="A148" s="50">
        <v>137</v>
      </c>
      <c r="B148" s="588">
        <v>0</v>
      </c>
    </row>
    <row r="149" spans="1:2" x14ac:dyDescent="0.3">
      <c r="A149" s="50">
        <v>138</v>
      </c>
      <c r="B149" s="588">
        <v>0</v>
      </c>
    </row>
    <row r="150" spans="1:2" x14ac:dyDescent="0.3">
      <c r="A150" s="50">
        <v>139</v>
      </c>
      <c r="B150" s="588">
        <v>0</v>
      </c>
    </row>
    <row r="151" spans="1:2" x14ac:dyDescent="0.3">
      <c r="A151" s="50">
        <v>140</v>
      </c>
      <c r="B151" s="588">
        <v>0</v>
      </c>
    </row>
    <row r="152" spans="1:2" x14ac:dyDescent="0.3">
      <c r="A152" s="50">
        <v>141</v>
      </c>
      <c r="B152" s="588">
        <v>0</v>
      </c>
    </row>
    <row r="153" spans="1:2" x14ac:dyDescent="0.3">
      <c r="A153" s="50">
        <v>142</v>
      </c>
      <c r="B153" s="588">
        <v>0</v>
      </c>
    </row>
    <row r="154" spans="1:2" x14ac:dyDescent="0.3">
      <c r="A154" s="50">
        <v>143</v>
      </c>
      <c r="B154" s="588">
        <v>0</v>
      </c>
    </row>
    <row r="155" spans="1:2" x14ac:dyDescent="0.3">
      <c r="A155" s="50">
        <v>144</v>
      </c>
      <c r="B155" s="588">
        <v>0</v>
      </c>
    </row>
    <row r="156" spans="1:2" x14ac:dyDescent="0.3">
      <c r="A156" s="50">
        <v>145</v>
      </c>
      <c r="B156" s="588">
        <v>0</v>
      </c>
    </row>
    <row r="157" spans="1:2" x14ac:dyDescent="0.3">
      <c r="A157" s="50">
        <v>146</v>
      </c>
      <c r="B157" s="588">
        <v>0</v>
      </c>
    </row>
    <row r="158" spans="1:2" x14ac:dyDescent="0.3">
      <c r="A158" s="50">
        <v>147</v>
      </c>
      <c r="B158" s="588">
        <v>0</v>
      </c>
    </row>
    <row r="159" spans="1:2" x14ac:dyDescent="0.3">
      <c r="A159" s="50">
        <v>148</v>
      </c>
      <c r="B159" s="588">
        <v>0</v>
      </c>
    </row>
    <row r="160" spans="1:2" x14ac:dyDescent="0.3">
      <c r="A160" s="50">
        <v>149</v>
      </c>
      <c r="B160" s="588">
        <v>0</v>
      </c>
    </row>
    <row r="161" spans="1:2" x14ac:dyDescent="0.3">
      <c r="A161" s="701">
        <v>150</v>
      </c>
      <c r="B161" s="588">
        <v>0</v>
      </c>
    </row>
    <row r="162" spans="1:2" x14ac:dyDescent="0.3">
      <c r="A162" s="701">
        <v>151</v>
      </c>
      <c r="B162" s="588">
        <v>2.5000000000000001E-3</v>
      </c>
    </row>
    <row r="163" spans="1:2" x14ac:dyDescent="0.3">
      <c r="A163" s="701">
        <v>152</v>
      </c>
      <c r="B163" s="588">
        <v>5.0000000000000001E-3</v>
      </c>
    </row>
    <row r="164" spans="1:2" x14ac:dyDescent="0.3">
      <c r="A164" s="701">
        <v>153</v>
      </c>
      <c r="B164" s="588">
        <v>7.4999999999999997E-3</v>
      </c>
    </row>
    <row r="165" spans="1:2" x14ac:dyDescent="0.3">
      <c r="A165" s="701">
        <v>154</v>
      </c>
      <c r="B165" s="588">
        <v>0.01</v>
      </c>
    </row>
    <row r="166" spans="1:2" x14ac:dyDescent="0.3">
      <c r="A166" s="701">
        <v>155</v>
      </c>
      <c r="B166" s="588">
        <v>1.2500000000000001E-2</v>
      </c>
    </row>
    <row r="167" spans="1:2" x14ac:dyDescent="0.3">
      <c r="A167" s="701">
        <v>156</v>
      </c>
      <c r="B167" s="588">
        <v>1.4999999999999999E-2</v>
      </c>
    </row>
    <row r="168" spans="1:2" x14ac:dyDescent="0.3">
      <c r="A168" s="701">
        <v>157</v>
      </c>
      <c r="B168" s="588">
        <v>1.7500000000000002E-2</v>
      </c>
    </row>
    <row r="169" spans="1:2" x14ac:dyDescent="0.3">
      <c r="A169" s="701">
        <v>158</v>
      </c>
      <c r="B169" s="588">
        <v>0.02</v>
      </c>
    </row>
    <row r="170" spans="1:2" x14ac:dyDescent="0.3">
      <c r="A170" s="701">
        <v>159</v>
      </c>
      <c r="B170" s="588">
        <v>2.2499999999999999E-2</v>
      </c>
    </row>
    <row r="171" spans="1:2" x14ac:dyDescent="0.3">
      <c r="A171" s="701">
        <v>160</v>
      </c>
      <c r="B171" s="588">
        <v>2.5000000000000001E-2</v>
      </c>
    </row>
    <row r="172" spans="1:2" x14ac:dyDescent="0.3">
      <c r="A172" s="701">
        <v>161</v>
      </c>
      <c r="B172" s="588">
        <v>2.75E-2</v>
      </c>
    </row>
    <row r="173" spans="1:2" x14ac:dyDescent="0.3">
      <c r="A173" s="701">
        <v>162</v>
      </c>
      <c r="B173" s="588">
        <v>0.03</v>
      </c>
    </row>
    <row r="174" spans="1:2" x14ac:dyDescent="0.3">
      <c r="A174" s="701">
        <v>163</v>
      </c>
      <c r="B174" s="588">
        <v>3.2500000000000001E-2</v>
      </c>
    </row>
    <row r="175" spans="1:2" x14ac:dyDescent="0.3">
      <c r="A175" s="701">
        <v>164</v>
      </c>
      <c r="B175" s="588">
        <v>3.5000000000000003E-2</v>
      </c>
    </row>
    <row r="176" spans="1:2" x14ac:dyDescent="0.3">
      <c r="A176" s="701">
        <v>165</v>
      </c>
      <c r="B176" s="588">
        <v>3.7499999999999999E-2</v>
      </c>
    </row>
    <row r="177" spans="1:2" x14ac:dyDescent="0.3">
      <c r="A177" s="701">
        <v>166</v>
      </c>
      <c r="B177" s="588">
        <v>0.04</v>
      </c>
    </row>
    <row r="178" spans="1:2" x14ac:dyDescent="0.3">
      <c r="A178" s="701">
        <v>167</v>
      </c>
      <c r="B178" s="588">
        <v>4.2500000000000003E-2</v>
      </c>
    </row>
    <row r="179" spans="1:2" x14ac:dyDescent="0.3">
      <c r="A179" s="701">
        <v>168</v>
      </c>
      <c r="B179" s="588">
        <v>4.4999999999999998E-2</v>
      </c>
    </row>
    <row r="180" spans="1:2" x14ac:dyDescent="0.3">
      <c r="A180" s="701">
        <v>169</v>
      </c>
      <c r="B180" s="588">
        <v>4.7500000000000001E-2</v>
      </c>
    </row>
    <row r="181" spans="1:2" x14ac:dyDescent="0.3">
      <c r="A181" s="701">
        <v>170</v>
      </c>
      <c r="B181" s="588">
        <v>0.05</v>
      </c>
    </row>
    <row r="182" spans="1:2" x14ac:dyDescent="0.3">
      <c r="A182" s="701">
        <v>171</v>
      </c>
      <c r="B182" s="588">
        <v>5.2499999999999998E-2</v>
      </c>
    </row>
    <row r="183" spans="1:2" x14ac:dyDescent="0.3">
      <c r="A183" s="701">
        <v>172</v>
      </c>
      <c r="B183" s="588">
        <v>5.5E-2</v>
      </c>
    </row>
    <row r="184" spans="1:2" x14ac:dyDescent="0.3">
      <c r="A184" s="701">
        <v>173</v>
      </c>
      <c r="B184" s="588">
        <v>5.7500000000000002E-2</v>
      </c>
    </row>
    <row r="185" spans="1:2" x14ac:dyDescent="0.3">
      <c r="A185" s="701">
        <v>174</v>
      </c>
      <c r="B185" s="588">
        <v>0.06</v>
      </c>
    </row>
    <row r="186" spans="1:2" x14ac:dyDescent="0.3">
      <c r="A186" s="701">
        <v>175</v>
      </c>
      <c r="B186" s="588">
        <v>6.25E-2</v>
      </c>
    </row>
    <row r="187" spans="1:2" x14ac:dyDescent="0.3">
      <c r="A187" s="701">
        <v>176</v>
      </c>
      <c r="B187" s="588">
        <v>6.5000000000000002E-2</v>
      </c>
    </row>
    <row r="188" spans="1:2" x14ac:dyDescent="0.3">
      <c r="A188" s="701">
        <v>177</v>
      </c>
      <c r="B188" s="588">
        <v>6.7500000000000004E-2</v>
      </c>
    </row>
    <row r="189" spans="1:2" x14ac:dyDescent="0.3">
      <c r="A189" s="701">
        <v>178</v>
      </c>
      <c r="B189" s="588">
        <v>7.0000000000000007E-2</v>
      </c>
    </row>
    <row r="190" spans="1:2" x14ac:dyDescent="0.3">
      <c r="A190" s="701">
        <v>179</v>
      </c>
      <c r="B190" s="588">
        <v>7.2499999999999995E-2</v>
      </c>
    </row>
    <row r="191" spans="1:2" x14ac:dyDescent="0.3">
      <c r="A191" s="701">
        <v>180</v>
      </c>
      <c r="B191" s="588">
        <v>7.4999999999999997E-2</v>
      </c>
    </row>
    <row r="192" spans="1:2" x14ac:dyDescent="0.3">
      <c r="A192" s="701">
        <v>181</v>
      </c>
      <c r="B192" s="588">
        <v>7.7499999999999999E-2</v>
      </c>
    </row>
    <row r="193" spans="1:2" x14ac:dyDescent="0.3">
      <c r="A193" s="701">
        <v>182</v>
      </c>
      <c r="B193" s="588">
        <v>0.08</v>
      </c>
    </row>
    <row r="194" spans="1:2" x14ac:dyDescent="0.3">
      <c r="A194" s="701">
        <v>183</v>
      </c>
      <c r="B194" s="588">
        <v>8.2500000000000004E-2</v>
      </c>
    </row>
    <row r="195" spans="1:2" x14ac:dyDescent="0.3">
      <c r="A195" s="701">
        <v>184</v>
      </c>
      <c r="B195" s="588">
        <v>8.5000000000000006E-2</v>
      </c>
    </row>
    <row r="196" spans="1:2" x14ac:dyDescent="0.3">
      <c r="A196" s="701">
        <v>185</v>
      </c>
      <c r="B196" s="588">
        <v>8.7499999999999994E-2</v>
      </c>
    </row>
    <row r="197" spans="1:2" x14ac:dyDescent="0.3">
      <c r="A197" s="701">
        <v>186</v>
      </c>
      <c r="B197" s="588">
        <v>0.09</v>
      </c>
    </row>
    <row r="198" spans="1:2" x14ac:dyDescent="0.3">
      <c r="A198" s="701">
        <v>187</v>
      </c>
      <c r="B198" s="588">
        <v>9.2499999999999999E-2</v>
      </c>
    </row>
    <row r="199" spans="1:2" x14ac:dyDescent="0.3">
      <c r="A199" s="701">
        <v>188</v>
      </c>
      <c r="B199" s="588">
        <v>9.5000000000000001E-2</v>
      </c>
    </row>
    <row r="200" spans="1:2" x14ac:dyDescent="0.3">
      <c r="A200" s="701">
        <v>189</v>
      </c>
      <c r="B200" s="588">
        <v>9.7500000000000003E-2</v>
      </c>
    </row>
    <row r="201" spans="1:2" x14ac:dyDescent="0.3">
      <c r="A201" s="701">
        <v>190</v>
      </c>
      <c r="B201" s="588">
        <v>0.1</v>
      </c>
    </row>
    <row r="202" spans="1:2" x14ac:dyDescent="0.3">
      <c r="A202" s="701">
        <v>191</v>
      </c>
      <c r="B202" s="588">
        <v>0.10249999999999999</v>
      </c>
    </row>
    <row r="203" spans="1:2" x14ac:dyDescent="0.3">
      <c r="A203" s="701">
        <v>192</v>
      </c>
      <c r="B203" s="588">
        <v>0.105</v>
      </c>
    </row>
    <row r="204" spans="1:2" x14ac:dyDescent="0.3">
      <c r="A204" s="701">
        <v>193</v>
      </c>
      <c r="B204" s="588">
        <v>0.1075</v>
      </c>
    </row>
    <row r="205" spans="1:2" x14ac:dyDescent="0.3">
      <c r="A205" s="701">
        <v>194</v>
      </c>
      <c r="B205" s="588">
        <v>0.11</v>
      </c>
    </row>
    <row r="206" spans="1:2" x14ac:dyDescent="0.3">
      <c r="A206" s="701">
        <v>195</v>
      </c>
      <c r="B206" s="588">
        <v>0.1125</v>
      </c>
    </row>
    <row r="207" spans="1:2" x14ac:dyDescent="0.3">
      <c r="A207" s="701">
        <v>196</v>
      </c>
      <c r="B207" s="588">
        <v>0.115</v>
      </c>
    </row>
    <row r="208" spans="1:2" x14ac:dyDescent="0.3">
      <c r="A208" s="701">
        <v>197</v>
      </c>
      <c r="B208" s="588">
        <v>0.11749999999999999</v>
      </c>
    </row>
    <row r="209" spans="1:2" x14ac:dyDescent="0.3">
      <c r="A209" s="701">
        <v>198</v>
      </c>
      <c r="B209" s="588">
        <v>0.12</v>
      </c>
    </row>
    <row r="210" spans="1:2" x14ac:dyDescent="0.3">
      <c r="A210" s="701">
        <v>199</v>
      </c>
      <c r="B210" s="588">
        <v>0.1225</v>
      </c>
    </row>
    <row r="211" spans="1:2" x14ac:dyDescent="0.3">
      <c r="A211" s="701">
        <v>200</v>
      </c>
      <c r="B211" s="588">
        <v>0.125</v>
      </c>
    </row>
    <row r="212" spans="1:2" x14ac:dyDescent="0.3">
      <c r="A212" s="701">
        <v>201</v>
      </c>
      <c r="B212" s="588">
        <v>0.1275</v>
      </c>
    </row>
    <row r="213" spans="1:2" x14ac:dyDescent="0.3">
      <c r="A213" s="701">
        <v>202</v>
      </c>
      <c r="B213" s="588">
        <v>0.13</v>
      </c>
    </row>
    <row r="214" spans="1:2" x14ac:dyDescent="0.3">
      <c r="A214" s="701">
        <v>203</v>
      </c>
      <c r="B214" s="588">
        <v>0.13250000000000001</v>
      </c>
    </row>
    <row r="215" spans="1:2" x14ac:dyDescent="0.3">
      <c r="A215" s="701">
        <v>204</v>
      </c>
      <c r="B215" s="588">
        <v>0.13500000000000001</v>
      </c>
    </row>
    <row r="216" spans="1:2" x14ac:dyDescent="0.3">
      <c r="A216" s="701">
        <v>205</v>
      </c>
      <c r="B216" s="588">
        <v>0.13750000000000001</v>
      </c>
    </row>
    <row r="217" spans="1:2" x14ac:dyDescent="0.3">
      <c r="A217" s="701">
        <v>206</v>
      </c>
      <c r="B217" s="588">
        <v>0.14000000000000001</v>
      </c>
    </row>
    <row r="218" spans="1:2" x14ac:dyDescent="0.3">
      <c r="A218" s="701">
        <v>207</v>
      </c>
      <c r="B218" s="588">
        <v>0.14249999999999999</v>
      </c>
    </row>
    <row r="219" spans="1:2" x14ac:dyDescent="0.3">
      <c r="A219" s="701">
        <v>208</v>
      </c>
      <c r="B219" s="588">
        <v>0.14499999999999999</v>
      </c>
    </row>
    <row r="220" spans="1:2" x14ac:dyDescent="0.3">
      <c r="A220" s="701">
        <v>209</v>
      </c>
      <c r="B220" s="588">
        <v>0.14749999999999999</v>
      </c>
    </row>
    <row r="221" spans="1:2" x14ac:dyDescent="0.3">
      <c r="A221" s="701">
        <v>210</v>
      </c>
      <c r="B221" s="588">
        <v>0.15</v>
      </c>
    </row>
    <row r="222" spans="1:2" x14ac:dyDescent="0.3">
      <c r="A222" s="701">
        <v>211</v>
      </c>
      <c r="B222" s="588">
        <v>0.1525</v>
      </c>
    </row>
    <row r="223" spans="1:2" x14ac:dyDescent="0.3">
      <c r="A223" s="701">
        <v>212</v>
      </c>
      <c r="B223" s="588">
        <v>0.155</v>
      </c>
    </row>
    <row r="224" spans="1:2" x14ac:dyDescent="0.3">
      <c r="A224" s="701">
        <v>213</v>
      </c>
      <c r="B224" s="588">
        <v>0.1575</v>
      </c>
    </row>
    <row r="225" spans="1:2" x14ac:dyDescent="0.3">
      <c r="A225" s="701">
        <v>214</v>
      </c>
      <c r="B225" s="588">
        <v>0.16</v>
      </c>
    </row>
    <row r="226" spans="1:2" x14ac:dyDescent="0.3">
      <c r="A226" s="701">
        <v>215</v>
      </c>
      <c r="B226" s="588">
        <v>0.16250000000000001</v>
      </c>
    </row>
    <row r="227" spans="1:2" x14ac:dyDescent="0.3">
      <c r="A227" s="701">
        <v>216</v>
      </c>
      <c r="B227" s="588">
        <v>0.16500000000000001</v>
      </c>
    </row>
    <row r="228" spans="1:2" x14ac:dyDescent="0.3">
      <c r="A228" s="701">
        <v>217</v>
      </c>
      <c r="B228" s="588">
        <v>0.16750000000000001</v>
      </c>
    </row>
    <row r="229" spans="1:2" x14ac:dyDescent="0.3">
      <c r="A229" s="701">
        <v>218</v>
      </c>
      <c r="B229" s="588">
        <v>0.17</v>
      </c>
    </row>
    <row r="230" spans="1:2" x14ac:dyDescent="0.3">
      <c r="A230" s="701">
        <v>219</v>
      </c>
      <c r="B230" s="588">
        <v>0.17249999999999999</v>
      </c>
    </row>
    <row r="231" spans="1:2" x14ac:dyDescent="0.3">
      <c r="A231" s="701">
        <v>220</v>
      </c>
      <c r="B231" s="588">
        <v>0.17499999999999999</v>
      </c>
    </row>
    <row r="232" spans="1:2" x14ac:dyDescent="0.3">
      <c r="A232" s="701">
        <v>221</v>
      </c>
      <c r="B232" s="588">
        <v>0.17749999999999999</v>
      </c>
    </row>
    <row r="233" spans="1:2" x14ac:dyDescent="0.3">
      <c r="A233" s="701">
        <v>222</v>
      </c>
      <c r="B233" s="588">
        <v>0.18</v>
      </c>
    </row>
    <row r="234" spans="1:2" x14ac:dyDescent="0.3">
      <c r="A234" s="701">
        <v>223</v>
      </c>
      <c r="B234" s="588">
        <v>0.1825</v>
      </c>
    </row>
    <row r="235" spans="1:2" x14ac:dyDescent="0.3">
      <c r="A235" s="701">
        <v>224</v>
      </c>
      <c r="B235" s="588">
        <v>0.185</v>
      </c>
    </row>
    <row r="236" spans="1:2" x14ac:dyDescent="0.3">
      <c r="A236" s="701">
        <v>225</v>
      </c>
      <c r="B236" s="588">
        <v>0.1875</v>
      </c>
    </row>
    <row r="237" spans="1:2" x14ac:dyDescent="0.3">
      <c r="A237" s="701">
        <v>226</v>
      </c>
      <c r="B237" s="588">
        <v>0.19</v>
      </c>
    </row>
    <row r="238" spans="1:2" x14ac:dyDescent="0.3">
      <c r="A238" s="701">
        <v>227</v>
      </c>
      <c r="B238" s="588">
        <v>0.1925</v>
      </c>
    </row>
    <row r="239" spans="1:2" x14ac:dyDescent="0.3">
      <c r="A239" s="701">
        <v>228</v>
      </c>
      <c r="B239" s="588">
        <v>0.19500000000000001</v>
      </c>
    </row>
    <row r="240" spans="1:2" x14ac:dyDescent="0.3">
      <c r="A240" s="701">
        <v>229</v>
      </c>
      <c r="B240" s="588">
        <v>0.19750000000000001</v>
      </c>
    </row>
    <row r="241" spans="1:2" x14ac:dyDescent="0.3">
      <c r="A241" s="701">
        <v>230</v>
      </c>
      <c r="B241" s="588">
        <v>0.2</v>
      </c>
    </row>
    <row r="242" spans="1:2" x14ac:dyDescent="0.3">
      <c r="A242" s="701">
        <v>231</v>
      </c>
      <c r="B242" s="588">
        <v>0.20250000000000001</v>
      </c>
    </row>
    <row r="243" spans="1:2" x14ac:dyDescent="0.3">
      <c r="A243" s="701">
        <v>232</v>
      </c>
      <c r="B243" s="588">
        <v>0.20499999999999999</v>
      </c>
    </row>
    <row r="244" spans="1:2" x14ac:dyDescent="0.3">
      <c r="A244" s="701">
        <v>233</v>
      </c>
      <c r="B244" s="588">
        <v>0.20749999999999999</v>
      </c>
    </row>
    <row r="245" spans="1:2" x14ac:dyDescent="0.3">
      <c r="A245" s="701">
        <v>234</v>
      </c>
      <c r="B245" s="588">
        <v>0.21</v>
      </c>
    </row>
    <row r="246" spans="1:2" x14ac:dyDescent="0.3">
      <c r="A246" s="701">
        <v>235</v>
      </c>
      <c r="B246" s="588">
        <v>0.21249999999999999</v>
      </c>
    </row>
    <row r="247" spans="1:2" x14ac:dyDescent="0.3">
      <c r="A247" s="701">
        <v>236</v>
      </c>
      <c r="B247" s="588">
        <v>0.215</v>
      </c>
    </row>
    <row r="248" spans="1:2" x14ac:dyDescent="0.3">
      <c r="A248" s="701">
        <v>237</v>
      </c>
      <c r="B248" s="588">
        <v>0.2175</v>
      </c>
    </row>
    <row r="249" spans="1:2" x14ac:dyDescent="0.3">
      <c r="A249" s="701">
        <v>238</v>
      </c>
      <c r="B249" s="588">
        <v>0.22</v>
      </c>
    </row>
    <row r="250" spans="1:2" x14ac:dyDescent="0.3">
      <c r="A250" s="701">
        <v>239</v>
      </c>
      <c r="B250" s="588">
        <v>0.2225</v>
      </c>
    </row>
    <row r="251" spans="1:2" x14ac:dyDescent="0.3">
      <c r="A251" s="701">
        <v>240</v>
      </c>
      <c r="B251" s="588">
        <v>0.22500000000000001</v>
      </c>
    </row>
    <row r="252" spans="1:2" x14ac:dyDescent="0.3">
      <c r="A252" s="701">
        <v>241</v>
      </c>
      <c r="B252" s="588">
        <v>0.22750000000000001</v>
      </c>
    </row>
    <row r="253" spans="1:2" x14ac:dyDescent="0.3">
      <c r="A253" s="701">
        <v>242</v>
      </c>
      <c r="B253" s="588">
        <v>0.23</v>
      </c>
    </row>
    <row r="254" spans="1:2" x14ac:dyDescent="0.3">
      <c r="A254" s="701">
        <v>243</v>
      </c>
      <c r="B254" s="588">
        <v>0.23250000000000001</v>
      </c>
    </row>
    <row r="255" spans="1:2" x14ac:dyDescent="0.3">
      <c r="A255" s="701">
        <v>244</v>
      </c>
      <c r="B255" s="588">
        <v>0.23499999999999999</v>
      </c>
    </row>
    <row r="256" spans="1:2" x14ac:dyDescent="0.3">
      <c r="A256" s="701">
        <v>245</v>
      </c>
      <c r="B256" s="588">
        <v>0.23749999999999999</v>
      </c>
    </row>
    <row r="257" spans="1:2" x14ac:dyDescent="0.3">
      <c r="A257" s="701">
        <v>246</v>
      </c>
      <c r="B257" s="588">
        <v>0.24</v>
      </c>
    </row>
    <row r="258" spans="1:2" x14ac:dyDescent="0.3">
      <c r="A258" s="701">
        <v>247</v>
      </c>
      <c r="B258" s="588">
        <v>0.24249999999999999</v>
      </c>
    </row>
    <row r="259" spans="1:2" x14ac:dyDescent="0.3">
      <c r="A259" s="701">
        <v>248</v>
      </c>
      <c r="B259" s="588">
        <v>0.245</v>
      </c>
    </row>
    <row r="260" spans="1:2" x14ac:dyDescent="0.3">
      <c r="A260" s="701">
        <v>249</v>
      </c>
      <c r="B260" s="588">
        <v>0.2475</v>
      </c>
    </row>
    <row r="261" spans="1:2" x14ac:dyDescent="0.3">
      <c r="A261" s="701">
        <v>250</v>
      </c>
      <c r="B261" s="588">
        <v>0.25</v>
      </c>
    </row>
    <row r="262" spans="1:2" x14ac:dyDescent="0.3">
      <c r="A262" s="701">
        <v>251</v>
      </c>
      <c r="B262" s="588">
        <v>0.2525</v>
      </c>
    </row>
    <row r="263" spans="1:2" x14ac:dyDescent="0.3">
      <c r="A263" s="701">
        <v>252</v>
      </c>
      <c r="B263" s="588">
        <v>0.255</v>
      </c>
    </row>
    <row r="264" spans="1:2" x14ac:dyDescent="0.3">
      <c r="A264" s="701">
        <v>253</v>
      </c>
      <c r="B264" s="588">
        <v>0.25750000000000001</v>
      </c>
    </row>
    <row r="265" spans="1:2" x14ac:dyDescent="0.3">
      <c r="A265" s="701">
        <v>254</v>
      </c>
      <c r="B265" s="588">
        <v>0.26</v>
      </c>
    </row>
    <row r="266" spans="1:2" x14ac:dyDescent="0.3">
      <c r="A266" s="701">
        <v>255</v>
      </c>
      <c r="B266" s="588">
        <v>0.26250000000000001</v>
      </c>
    </row>
    <row r="267" spans="1:2" x14ac:dyDescent="0.3">
      <c r="A267" s="701">
        <v>256</v>
      </c>
      <c r="B267" s="588">
        <v>0.26500000000000001</v>
      </c>
    </row>
    <row r="268" spans="1:2" x14ac:dyDescent="0.3">
      <c r="A268" s="701">
        <v>257</v>
      </c>
      <c r="B268" s="588">
        <v>0.26750000000000002</v>
      </c>
    </row>
    <row r="269" spans="1:2" x14ac:dyDescent="0.3">
      <c r="A269" s="701">
        <v>258</v>
      </c>
      <c r="B269" s="588">
        <v>0.27</v>
      </c>
    </row>
    <row r="270" spans="1:2" x14ac:dyDescent="0.3">
      <c r="A270" s="701">
        <v>259</v>
      </c>
      <c r="B270" s="588">
        <v>0.27250000000000002</v>
      </c>
    </row>
    <row r="271" spans="1:2" x14ac:dyDescent="0.3">
      <c r="A271" s="701">
        <v>260</v>
      </c>
      <c r="B271" s="588">
        <v>0.27500000000000002</v>
      </c>
    </row>
    <row r="272" spans="1:2" x14ac:dyDescent="0.3">
      <c r="A272" s="701">
        <v>261</v>
      </c>
      <c r="B272" s="588">
        <v>0.27750000000000002</v>
      </c>
    </row>
    <row r="273" spans="1:2" x14ac:dyDescent="0.3">
      <c r="A273" s="701">
        <v>262</v>
      </c>
      <c r="B273" s="588">
        <v>0.28000000000000003</v>
      </c>
    </row>
    <row r="274" spans="1:2" x14ac:dyDescent="0.3">
      <c r="A274" s="701">
        <v>263</v>
      </c>
      <c r="B274" s="588">
        <v>0.28249999999999997</v>
      </c>
    </row>
    <row r="275" spans="1:2" x14ac:dyDescent="0.3">
      <c r="A275" s="701">
        <v>264</v>
      </c>
      <c r="B275" s="588">
        <v>0.28499999999999998</v>
      </c>
    </row>
    <row r="276" spans="1:2" x14ac:dyDescent="0.3">
      <c r="A276" s="701">
        <v>265</v>
      </c>
      <c r="B276" s="588">
        <v>0.28749999999999998</v>
      </c>
    </row>
    <row r="277" spans="1:2" x14ac:dyDescent="0.3">
      <c r="A277" s="701">
        <v>266</v>
      </c>
      <c r="B277" s="588">
        <v>0.28999999999999998</v>
      </c>
    </row>
    <row r="278" spans="1:2" x14ac:dyDescent="0.3">
      <c r="A278" s="701">
        <v>267</v>
      </c>
      <c r="B278" s="588">
        <v>0.29249999999999998</v>
      </c>
    </row>
    <row r="279" spans="1:2" x14ac:dyDescent="0.3">
      <c r="A279" s="701">
        <v>268</v>
      </c>
      <c r="B279" s="588">
        <v>0.29499999999999998</v>
      </c>
    </row>
    <row r="280" spans="1:2" x14ac:dyDescent="0.3">
      <c r="A280" s="701">
        <v>269</v>
      </c>
      <c r="B280" s="588">
        <v>0.29749999999999999</v>
      </c>
    </row>
    <row r="281" spans="1:2" x14ac:dyDescent="0.3">
      <c r="A281" s="701">
        <v>270</v>
      </c>
      <c r="B281" s="588">
        <v>0.3</v>
      </c>
    </row>
    <row r="282" spans="1:2" x14ac:dyDescent="0.3">
      <c r="A282" s="701">
        <v>271</v>
      </c>
      <c r="B282" s="588">
        <v>0.30249999999999999</v>
      </c>
    </row>
    <row r="283" spans="1:2" x14ac:dyDescent="0.3">
      <c r="A283" s="701">
        <v>272</v>
      </c>
      <c r="B283" s="588">
        <v>0.30499999999999999</v>
      </c>
    </row>
    <row r="284" spans="1:2" x14ac:dyDescent="0.3">
      <c r="A284" s="701">
        <v>273</v>
      </c>
      <c r="B284" s="588">
        <v>0.3075</v>
      </c>
    </row>
    <row r="285" spans="1:2" x14ac:dyDescent="0.3">
      <c r="A285" s="701">
        <v>274</v>
      </c>
      <c r="B285" s="588">
        <v>0.31</v>
      </c>
    </row>
    <row r="286" spans="1:2" x14ac:dyDescent="0.3">
      <c r="A286" s="701">
        <v>275</v>
      </c>
      <c r="B286" s="588">
        <v>0.3125</v>
      </c>
    </row>
    <row r="287" spans="1:2" x14ac:dyDescent="0.3">
      <c r="A287" s="701">
        <v>276</v>
      </c>
      <c r="B287" s="588">
        <v>0.315</v>
      </c>
    </row>
    <row r="288" spans="1:2" x14ac:dyDescent="0.3">
      <c r="A288" s="701">
        <v>277</v>
      </c>
      <c r="B288" s="588">
        <v>0.3175</v>
      </c>
    </row>
    <row r="289" spans="1:2" x14ac:dyDescent="0.3">
      <c r="A289" s="701">
        <v>278</v>
      </c>
      <c r="B289" s="588">
        <v>0.32</v>
      </c>
    </row>
    <row r="290" spans="1:2" x14ac:dyDescent="0.3">
      <c r="A290" s="701">
        <v>279</v>
      </c>
      <c r="B290" s="588">
        <v>0.32250000000000001</v>
      </c>
    </row>
    <row r="291" spans="1:2" x14ac:dyDescent="0.3">
      <c r="A291" s="701">
        <v>280</v>
      </c>
      <c r="B291" s="588">
        <v>0.32500000000000001</v>
      </c>
    </row>
    <row r="292" spans="1:2" x14ac:dyDescent="0.3">
      <c r="A292" s="701">
        <v>281</v>
      </c>
      <c r="B292" s="588">
        <v>0.32750000000000001</v>
      </c>
    </row>
    <row r="293" spans="1:2" x14ac:dyDescent="0.3">
      <c r="A293" s="701">
        <v>282</v>
      </c>
      <c r="B293" s="588">
        <v>0.33</v>
      </c>
    </row>
    <row r="294" spans="1:2" x14ac:dyDescent="0.3">
      <c r="A294" s="701">
        <v>283</v>
      </c>
      <c r="B294" s="588">
        <v>0.33250000000000002</v>
      </c>
    </row>
    <row r="295" spans="1:2" x14ac:dyDescent="0.3">
      <c r="A295" s="701">
        <v>284</v>
      </c>
      <c r="B295" s="588">
        <v>0.33500000000000002</v>
      </c>
    </row>
    <row r="296" spans="1:2" x14ac:dyDescent="0.3">
      <c r="A296" s="701">
        <v>285</v>
      </c>
      <c r="B296" s="588">
        <v>0.33750000000000002</v>
      </c>
    </row>
    <row r="297" spans="1:2" x14ac:dyDescent="0.3">
      <c r="A297" s="701">
        <v>286</v>
      </c>
      <c r="B297" s="588">
        <v>0.34</v>
      </c>
    </row>
    <row r="298" spans="1:2" x14ac:dyDescent="0.3">
      <c r="A298" s="701">
        <v>287</v>
      </c>
      <c r="B298" s="588">
        <v>0.34250000000000003</v>
      </c>
    </row>
    <row r="299" spans="1:2" x14ac:dyDescent="0.3">
      <c r="A299" s="701">
        <v>288</v>
      </c>
      <c r="B299" s="588">
        <v>0.34499999999999997</v>
      </c>
    </row>
    <row r="300" spans="1:2" x14ac:dyDescent="0.3">
      <c r="A300" s="701">
        <v>289</v>
      </c>
      <c r="B300" s="588">
        <v>0.34749999999999998</v>
      </c>
    </row>
    <row r="301" spans="1:2" x14ac:dyDescent="0.3">
      <c r="A301" s="701">
        <v>290</v>
      </c>
      <c r="B301" s="588">
        <v>0.35</v>
      </c>
    </row>
    <row r="302" spans="1:2" x14ac:dyDescent="0.3">
      <c r="A302" s="701">
        <v>291</v>
      </c>
      <c r="B302" s="588">
        <v>0.35249999999999998</v>
      </c>
    </row>
    <row r="303" spans="1:2" x14ac:dyDescent="0.3">
      <c r="A303" s="701">
        <v>292</v>
      </c>
      <c r="B303" s="588">
        <v>0.35499999999999998</v>
      </c>
    </row>
    <row r="304" spans="1:2" x14ac:dyDescent="0.3">
      <c r="A304" s="701">
        <v>293</v>
      </c>
      <c r="B304" s="588">
        <v>0.35749999999999998</v>
      </c>
    </row>
    <row r="305" spans="1:2" x14ac:dyDescent="0.3">
      <c r="A305" s="701">
        <v>294</v>
      </c>
      <c r="B305" s="588">
        <v>0.36</v>
      </c>
    </row>
    <row r="306" spans="1:2" x14ac:dyDescent="0.3">
      <c r="A306" s="701">
        <v>295</v>
      </c>
      <c r="B306" s="588">
        <v>0.36249999999999999</v>
      </c>
    </row>
    <row r="307" spans="1:2" x14ac:dyDescent="0.3">
      <c r="A307" s="701">
        <v>296</v>
      </c>
      <c r="B307" s="588">
        <v>0.36499999999999999</v>
      </c>
    </row>
    <row r="308" spans="1:2" x14ac:dyDescent="0.3">
      <c r="A308" s="701">
        <v>297</v>
      </c>
      <c r="B308" s="588">
        <v>0.36749999999999999</v>
      </c>
    </row>
    <row r="309" spans="1:2" x14ac:dyDescent="0.3">
      <c r="A309" s="701">
        <v>298</v>
      </c>
      <c r="B309" s="588">
        <v>0.37</v>
      </c>
    </row>
    <row r="310" spans="1:2" x14ac:dyDescent="0.3">
      <c r="A310" s="701">
        <v>299</v>
      </c>
      <c r="B310" s="588">
        <v>0.3725</v>
      </c>
    </row>
    <row r="311" spans="1:2" x14ac:dyDescent="0.3">
      <c r="A311" s="701">
        <v>300</v>
      </c>
      <c r="B311" s="588">
        <v>0.375</v>
      </c>
    </row>
    <row r="312" spans="1:2" x14ac:dyDescent="0.3">
      <c r="A312" s="701">
        <v>301</v>
      </c>
      <c r="B312" s="588">
        <v>0.3775</v>
      </c>
    </row>
    <row r="313" spans="1:2" x14ac:dyDescent="0.3">
      <c r="A313" s="701">
        <v>302</v>
      </c>
      <c r="B313" s="588">
        <v>0.38</v>
      </c>
    </row>
    <row r="314" spans="1:2" x14ac:dyDescent="0.3">
      <c r="A314" s="701">
        <v>303</v>
      </c>
      <c r="B314" s="588">
        <v>0.38250000000000001</v>
      </c>
    </row>
    <row r="315" spans="1:2" x14ac:dyDescent="0.3">
      <c r="A315" s="701">
        <v>304</v>
      </c>
      <c r="B315" s="588">
        <v>0.38500000000000001</v>
      </c>
    </row>
    <row r="316" spans="1:2" x14ac:dyDescent="0.3">
      <c r="A316" s="701">
        <v>305</v>
      </c>
      <c r="B316" s="588">
        <v>0.38750000000000001</v>
      </c>
    </row>
    <row r="317" spans="1:2" x14ac:dyDescent="0.3">
      <c r="A317" s="701">
        <v>306</v>
      </c>
      <c r="B317" s="588">
        <v>0.39</v>
      </c>
    </row>
    <row r="318" spans="1:2" x14ac:dyDescent="0.3">
      <c r="A318" s="701">
        <v>307</v>
      </c>
      <c r="B318" s="588">
        <v>0.39250000000000002</v>
      </c>
    </row>
    <row r="319" spans="1:2" x14ac:dyDescent="0.3">
      <c r="A319" s="701">
        <v>308</v>
      </c>
      <c r="B319" s="588">
        <v>0.39500000000000002</v>
      </c>
    </row>
    <row r="320" spans="1:2" x14ac:dyDescent="0.3">
      <c r="A320" s="701">
        <v>309</v>
      </c>
      <c r="B320" s="588">
        <v>0.39750000000000002</v>
      </c>
    </row>
    <row r="321" spans="1:2" x14ac:dyDescent="0.3">
      <c r="A321" s="701">
        <v>310</v>
      </c>
      <c r="B321" s="588">
        <v>0.4</v>
      </c>
    </row>
    <row r="322" spans="1:2" x14ac:dyDescent="0.3">
      <c r="A322" s="701">
        <v>311</v>
      </c>
      <c r="B322" s="588">
        <v>0.40250000000000002</v>
      </c>
    </row>
    <row r="323" spans="1:2" x14ac:dyDescent="0.3">
      <c r="A323" s="701">
        <v>312</v>
      </c>
      <c r="B323" s="588">
        <v>0.40500000000000003</v>
      </c>
    </row>
    <row r="324" spans="1:2" x14ac:dyDescent="0.3">
      <c r="A324" s="701">
        <v>313</v>
      </c>
      <c r="B324" s="588">
        <v>0.40749999999999997</v>
      </c>
    </row>
    <row r="325" spans="1:2" x14ac:dyDescent="0.3">
      <c r="A325" s="701">
        <v>314</v>
      </c>
      <c r="B325" s="588">
        <v>0.41</v>
      </c>
    </row>
    <row r="326" spans="1:2" x14ac:dyDescent="0.3">
      <c r="A326" s="701">
        <v>315</v>
      </c>
      <c r="B326" s="588">
        <v>0.41249999999999998</v>
      </c>
    </row>
    <row r="327" spans="1:2" x14ac:dyDescent="0.3">
      <c r="A327" s="701">
        <v>316</v>
      </c>
      <c r="B327" s="588">
        <v>0.41499999999999998</v>
      </c>
    </row>
    <row r="328" spans="1:2" x14ac:dyDescent="0.3">
      <c r="A328" s="701">
        <v>317</v>
      </c>
      <c r="B328" s="588">
        <v>0.41749999999999998</v>
      </c>
    </row>
    <row r="329" spans="1:2" x14ac:dyDescent="0.3">
      <c r="A329" s="701">
        <v>318</v>
      </c>
      <c r="B329" s="588">
        <v>0.42</v>
      </c>
    </row>
    <row r="330" spans="1:2" x14ac:dyDescent="0.3">
      <c r="A330" s="701">
        <v>319</v>
      </c>
      <c r="B330" s="588">
        <v>0.42249999999999999</v>
      </c>
    </row>
    <row r="331" spans="1:2" x14ac:dyDescent="0.3">
      <c r="A331" s="701">
        <v>320</v>
      </c>
      <c r="B331" s="588">
        <v>0.42499999999999999</v>
      </c>
    </row>
    <row r="332" spans="1:2" x14ac:dyDescent="0.3">
      <c r="A332" s="701">
        <v>321</v>
      </c>
      <c r="B332" s="588">
        <v>0.42749999999999999</v>
      </c>
    </row>
    <row r="333" spans="1:2" x14ac:dyDescent="0.3">
      <c r="A333" s="701">
        <v>322</v>
      </c>
      <c r="B333" s="588">
        <v>0.43</v>
      </c>
    </row>
    <row r="334" spans="1:2" x14ac:dyDescent="0.3">
      <c r="A334" s="701">
        <v>323</v>
      </c>
      <c r="B334" s="588">
        <v>0.4325</v>
      </c>
    </row>
    <row r="335" spans="1:2" x14ac:dyDescent="0.3">
      <c r="A335" s="701">
        <v>324</v>
      </c>
      <c r="B335" s="588">
        <v>0.435</v>
      </c>
    </row>
    <row r="336" spans="1:2" x14ac:dyDescent="0.3">
      <c r="A336" s="701">
        <v>325</v>
      </c>
      <c r="B336" s="588">
        <v>0.4375</v>
      </c>
    </row>
    <row r="337" spans="1:2" x14ac:dyDescent="0.3">
      <c r="A337" s="701">
        <v>326</v>
      </c>
      <c r="B337" s="588">
        <v>0.44</v>
      </c>
    </row>
    <row r="338" spans="1:2" x14ac:dyDescent="0.3">
      <c r="A338" s="701">
        <v>327</v>
      </c>
      <c r="B338" s="588">
        <v>0.4425</v>
      </c>
    </row>
    <row r="339" spans="1:2" x14ac:dyDescent="0.3">
      <c r="A339" s="701">
        <v>328</v>
      </c>
      <c r="B339" s="588">
        <v>0.44500000000000001</v>
      </c>
    </row>
    <row r="340" spans="1:2" x14ac:dyDescent="0.3">
      <c r="A340" s="701">
        <v>329</v>
      </c>
      <c r="B340" s="588">
        <v>0.44750000000000001</v>
      </c>
    </row>
    <row r="341" spans="1:2" x14ac:dyDescent="0.3">
      <c r="A341" s="701">
        <v>330</v>
      </c>
      <c r="B341" s="588">
        <v>0.45</v>
      </c>
    </row>
    <row r="342" spans="1:2" x14ac:dyDescent="0.3">
      <c r="A342" s="701">
        <v>331</v>
      </c>
      <c r="B342" s="588">
        <v>0.45250000000000001</v>
      </c>
    </row>
    <row r="343" spans="1:2" x14ac:dyDescent="0.3">
      <c r="A343" s="701">
        <v>332</v>
      </c>
      <c r="B343" s="588">
        <v>0.45500000000000002</v>
      </c>
    </row>
    <row r="344" spans="1:2" x14ac:dyDescent="0.3">
      <c r="A344" s="701">
        <v>333</v>
      </c>
      <c r="B344" s="588">
        <v>0.45750000000000002</v>
      </c>
    </row>
    <row r="345" spans="1:2" x14ac:dyDescent="0.3">
      <c r="A345" s="701">
        <v>334</v>
      </c>
      <c r="B345" s="588">
        <v>0.46</v>
      </c>
    </row>
    <row r="346" spans="1:2" x14ac:dyDescent="0.3">
      <c r="A346" s="701">
        <v>335</v>
      </c>
      <c r="B346" s="588">
        <v>0.46250000000000002</v>
      </c>
    </row>
    <row r="347" spans="1:2" x14ac:dyDescent="0.3">
      <c r="A347" s="701">
        <v>336</v>
      </c>
      <c r="B347" s="588">
        <v>0.46500000000000002</v>
      </c>
    </row>
    <row r="348" spans="1:2" x14ac:dyDescent="0.3">
      <c r="A348" s="701">
        <v>337</v>
      </c>
      <c r="B348" s="588">
        <v>0.46750000000000003</v>
      </c>
    </row>
    <row r="349" spans="1:2" x14ac:dyDescent="0.3">
      <c r="A349" s="701">
        <v>338</v>
      </c>
      <c r="B349" s="588">
        <v>0.47</v>
      </c>
    </row>
    <row r="350" spans="1:2" x14ac:dyDescent="0.3">
      <c r="A350" s="701">
        <v>339</v>
      </c>
      <c r="B350" s="588">
        <v>0.47249999999999998</v>
      </c>
    </row>
    <row r="351" spans="1:2" x14ac:dyDescent="0.3">
      <c r="A351" s="701">
        <v>340</v>
      </c>
      <c r="B351" s="588">
        <v>0.47499999999999998</v>
      </c>
    </row>
    <row r="352" spans="1:2" x14ac:dyDescent="0.3">
      <c r="A352" s="701">
        <v>341</v>
      </c>
      <c r="B352" s="588">
        <v>0.47749999999999998</v>
      </c>
    </row>
    <row r="353" spans="1:2" x14ac:dyDescent="0.3">
      <c r="A353" s="701">
        <v>342</v>
      </c>
      <c r="B353" s="588">
        <v>0.48</v>
      </c>
    </row>
    <row r="354" spans="1:2" x14ac:dyDescent="0.3">
      <c r="A354" s="701">
        <v>343</v>
      </c>
      <c r="B354" s="588">
        <v>0.48249999999999998</v>
      </c>
    </row>
    <row r="355" spans="1:2" x14ac:dyDescent="0.3">
      <c r="A355" s="701">
        <v>344</v>
      </c>
      <c r="B355" s="588">
        <v>0.48499999999999999</v>
      </c>
    </row>
    <row r="356" spans="1:2" x14ac:dyDescent="0.3">
      <c r="A356" s="701">
        <v>345</v>
      </c>
      <c r="B356" s="588">
        <v>0.48749999999999999</v>
      </c>
    </row>
    <row r="357" spans="1:2" x14ac:dyDescent="0.3">
      <c r="A357" s="701">
        <v>346</v>
      </c>
      <c r="B357" s="588">
        <v>0.49</v>
      </c>
    </row>
    <row r="358" spans="1:2" x14ac:dyDescent="0.3">
      <c r="A358" s="701">
        <v>347</v>
      </c>
      <c r="B358" s="588">
        <v>0.49249999999999999</v>
      </c>
    </row>
    <row r="359" spans="1:2" x14ac:dyDescent="0.3">
      <c r="A359" s="701">
        <v>348</v>
      </c>
      <c r="B359" s="588">
        <v>0.495</v>
      </c>
    </row>
    <row r="360" spans="1:2" x14ac:dyDescent="0.3">
      <c r="A360" s="701">
        <v>349</v>
      </c>
      <c r="B360" s="588">
        <v>0.4975</v>
      </c>
    </row>
    <row r="361" spans="1:2" x14ac:dyDescent="0.3">
      <c r="A361" s="701">
        <v>350</v>
      </c>
      <c r="B361" s="588">
        <v>0.5</v>
      </c>
    </row>
    <row r="362" spans="1:2" x14ac:dyDescent="0.3">
      <c r="A362" s="701">
        <v>351</v>
      </c>
      <c r="B362" s="588">
        <v>0.50249999999999995</v>
      </c>
    </row>
    <row r="363" spans="1:2" x14ac:dyDescent="0.3">
      <c r="A363" s="701">
        <v>352</v>
      </c>
      <c r="B363" s="588">
        <v>0.505</v>
      </c>
    </row>
    <row r="364" spans="1:2" x14ac:dyDescent="0.3">
      <c r="A364" s="701">
        <v>353</v>
      </c>
      <c r="B364" s="588">
        <v>0.50749999999999995</v>
      </c>
    </row>
    <row r="365" spans="1:2" x14ac:dyDescent="0.3">
      <c r="A365" s="701">
        <v>354</v>
      </c>
      <c r="B365" s="588">
        <v>0.51</v>
      </c>
    </row>
    <row r="366" spans="1:2" x14ac:dyDescent="0.3">
      <c r="A366" s="701">
        <v>355</v>
      </c>
      <c r="B366" s="588">
        <v>0.51249999999999996</v>
      </c>
    </row>
    <row r="367" spans="1:2" x14ac:dyDescent="0.3">
      <c r="A367" s="701">
        <v>356</v>
      </c>
      <c r="B367" s="588">
        <v>0.51500000000000001</v>
      </c>
    </row>
    <row r="368" spans="1:2" x14ac:dyDescent="0.3">
      <c r="A368" s="701">
        <v>357</v>
      </c>
      <c r="B368" s="588">
        <v>0.51749999999999996</v>
      </c>
    </row>
    <row r="369" spans="1:2" x14ac:dyDescent="0.3">
      <c r="A369" s="701">
        <v>358</v>
      </c>
      <c r="B369" s="588">
        <v>0.52</v>
      </c>
    </row>
    <row r="370" spans="1:2" x14ac:dyDescent="0.3">
      <c r="A370" s="701">
        <v>359</v>
      </c>
      <c r="B370" s="588">
        <v>0.52249999999999996</v>
      </c>
    </row>
    <row r="371" spans="1:2" x14ac:dyDescent="0.3">
      <c r="A371" s="701">
        <v>360</v>
      </c>
      <c r="B371" s="588">
        <v>0.52500000000000002</v>
      </c>
    </row>
    <row r="372" spans="1:2" x14ac:dyDescent="0.3">
      <c r="A372" s="701">
        <v>361</v>
      </c>
      <c r="B372" s="588">
        <v>0.52749999999999997</v>
      </c>
    </row>
    <row r="373" spans="1:2" x14ac:dyDescent="0.3">
      <c r="A373" s="701">
        <v>362</v>
      </c>
      <c r="B373" s="588">
        <v>0.53</v>
      </c>
    </row>
    <row r="374" spans="1:2" x14ac:dyDescent="0.3">
      <c r="A374" s="701">
        <v>363</v>
      </c>
      <c r="B374" s="588">
        <v>0.53249999999999997</v>
      </c>
    </row>
    <row r="375" spans="1:2" x14ac:dyDescent="0.3">
      <c r="A375" s="701">
        <v>364</v>
      </c>
      <c r="B375" s="588">
        <v>0.53500000000000003</v>
      </c>
    </row>
    <row r="376" spans="1:2" x14ac:dyDescent="0.3">
      <c r="A376" s="701">
        <v>365</v>
      </c>
      <c r="B376" s="588">
        <v>0.53749999999999998</v>
      </c>
    </row>
    <row r="377" spans="1:2" x14ac:dyDescent="0.3">
      <c r="A377" s="701">
        <v>366</v>
      </c>
      <c r="B377" s="588">
        <v>0.54</v>
      </c>
    </row>
    <row r="378" spans="1:2" x14ac:dyDescent="0.3">
      <c r="A378" s="701">
        <v>367</v>
      </c>
      <c r="B378" s="588">
        <v>0.54249999999999998</v>
      </c>
    </row>
    <row r="379" spans="1:2" x14ac:dyDescent="0.3">
      <c r="A379" s="701">
        <v>368</v>
      </c>
      <c r="B379" s="588">
        <v>0.54500000000000004</v>
      </c>
    </row>
    <row r="380" spans="1:2" x14ac:dyDescent="0.3">
      <c r="A380" s="701">
        <v>369</v>
      </c>
      <c r="B380" s="588">
        <v>0.54749999999999999</v>
      </c>
    </row>
    <row r="381" spans="1:2" x14ac:dyDescent="0.3">
      <c r="A381" s="701">
        <v>370</v>
      </c>
      <c r="B381" s="588">
        <v>0.55000000000000004</v>
      </c>
    </row>
    <row r="382" spans="1:2" x14ac:dyDescent="0.3">
      <c r="A382" s="701">
        <v>371</v>
      </c>
      <c r="B382" s="588">
        <v>0.55249999999999999</v>
      </c>
    </row>
    <row r="383" spans="1:2" x14ac:dyDescent="0.3">
      <c r="A383" s="701">
        <v>372</v>
      </c>
      <c r="B383" s="588">
        <v>0.55500000000000005</v>
      </c>
    </row>
    <row r="384" spans="1:2" x14ac:dyDescent="0.3">
      <c r="A384" s="701">
        <v>373</v>
      </c>
      <c r="B384" s="588">
        <v>0.5575</v>
      </c>
    </row>
    <row r="385" spans="1:2" x14ac:dyDescent="0.3">
      <c r="A385" s="701">
        <v>374</v>
      </c>
      <c r="B385" s="588">
        <v>0.56000000000000005</v>
      </c>
    </row>
    <row r="386" spans="1:2" x14ac:dyDescent="0.3">
      <c r="A386" s="701">
        <v>375</v>
      </c>
      <c r="B386" s="588">
        <v>0.5625</v>
      </c>
    </row>
    <row r="387" spans="1:2" x14ac:dyDescent="0.3">
      <c r="A387" s="701">
        <v>376</v>
      </c>
      <c r="B387" s="588">
        <v>0.56499999999999995</v>
      </c>
    </row>
    <row r="388" spans="1:2" x14ac:dyDescent="0.3">
      <c r="A388" s="701">
        <v>377</v>
      </c>
      <c r="B388" s="588">
        <v>0.5675</v>
      </c>
    </row>
    <row r="389" spans="1:2" x14ac:dyDescent="0.3">
      <c r="A389" s="701">
        <v>378</v>
      </c>
      <c r="B389" s="588">
        <v>0.56999999999999995</v>
      </c>
    </row>
    <row r="390" spans="1:2" x14ac:dyDescent="0.3">
      <c r="A390" s="701">
        <v>379</v>
      </c>
      <c r="B390" s="588">
        <v>0.57250000000000001</v>
      </c>
    </row>
    <row r="391" spans="1:2" x14ac:dyDescent="0.3">
      <c r="A391" s="701">
        <v>380</v>
      </c>
      <c r="B391" s="588">
        <v>0.57499999999999996</v>
      </c>
    </row>
    <row r="392" spans="1:2" x14ac:dyDescent="0.3">
      <c r="A392" s="701">
        <v>381</v>
      </c>
      <c r="B392" s="588">
        <v>0.57750000000000001</v>
      </c>
    </row>
    <row r="393" spans="1:2" x14ac:dyDescent="0.3">
      <c r="A393" s="701">
        <v>382</v>
      </c>
      <c r="B393" s="588">
        <v>0.57999999999999996</v>
      </c>
    </row>
    <row r="394" spans="1:2" x14ac:dyDescent="0.3">
      <c r="A394" s="701">
        <v>383</v>
      </c>
      <c r="B394" s="588">
        <v>0.58250000000000002</v>
      </c>
    </row>
    <row r="395" spans="1:2" x14ac:dyDescent="0.3">
      <c r="A395" s="701">
        <v>384</v>
      </c>
      <c r="B395" s="588">
        <v>0.58499999999999996</v>
      </c>
    </row>
    <row r="396" spans="1:2" x14ac:dyDescent="0.3">
      <c r="A396" s="701">
        <v>385</v>
      </c>
      <c r="B396" s="588">
        <v>0.58750000000000002</v>
      </c>
    </row>
    <row r="397" spans="1:2" x14ac:dyDescent="0.3">
      <c r="A397" s="701">
        <v>386</v>
      </c>
      <c r="B397" s="588">
        <v>0.59</v>
      </c>
    </row>
    <row r="398" spans="1:2" x14ac:dyDescent="0.3">
      <c r="A398" s="701">
        <v>387</v>
      </c>
      <c r="B398" s="588">
        <v>0.59250000000000003</v>
      </c>
    </row>
    <row r="399" spans="1:2" x14ac:dyDescent="0.3">
      <c r="A399" s="701">
        <v>388</v>
      </c>
      <c r="B399" s="588">
        <v>0.59499999999999997</v>
      </c>
    </row>
    <row r="400" spans="1:2" x14ac:dyDescent="0.3">
      <c r="A400" s="701">
        <v>389</v>
      </c>
      <c r="B400" s="588">
        <v>0.59750000000000003</v>
      </c>
    </row>
    <row r="401" spans="1:2" x14ac:dyDescent="0.3">
      <c r="A401" s="701">
        <v>390</v>
      </c>
      <c r="B401" s="588">
        <v>0.6</v>
      </c>
    </row>
    <row r="402" spans="1:2" x14ac:dyDescent="0.3">
      <c r="A402" s="701">
        <v>391</v>
      </c>
      <c r="B402" s="588">
        <v>0.60250000000000004</v>
      </c>
    </row>
    <row r="403" spans="1:2" x14ac:dyDescent="0.3">
      <c r="A403" s="701">
        <v>392</v>
      </c>
      <c r="B403" s="588">
        <v>0.60499999999999998</v>
      </c>
    </row>
    <row r="404" spans="1:2" x14ac:dyDescent="0.3">
      <c r="A404" s="701">
        <v>393</v>
      </c>
      <c r="B404" s="588">
        <v>0.60750000000000004</v>
      </c>
    </row>
    <row r="405" spans="1:2" x14ac:dyDescent="0.3">
      <c r="A405" s="701">
        <v>394</v>
      </c>
      <c r="B405" s="588">
        <v>0.61</v>
      </c>
    </row>
    <row r="406" spans="1:2" x14ac:dyDescent="0.3">
      <c r="A406" s="701">
        <v>395</v>
      </c>
      <c r="B406" s="588">
        <v>0.61250000000000004</v>
      </c>
    </row>
    <row r="407" spans="1:2" x14ac:dyDescent="0.3">
      <c r="A407" s="701">
        <v>396</v>
      </c>
      <c r="B407" s="588">
        <v>0.61499999999999999</v>
      </c>
    </row>
    <row r="408" spans="1:2" x14ac:dyDescent="0.3">
      <c r="A408" s="701">
        <v>397</v>
      </c>
      <c r="B408" s="588">
        <v>0.61750000000000005</v>
      </c>
    </row>
    <row r="409" spans="1:2" x14ac:dyDescent="0.3">
      <c r="A409" s="701">
        <v>398</v>
      </c>
      <c r="B409" s="588">
        <v>0.62</v>
      </c>
    </row>
    <row r="410" spans="1:2" x14ac:dyDescent="0.3">
      <c r="A410" s="701">
        <v>399</v>
      </c>
      <c r="B410" s="588">
        <v>0.62250000000000005</v>
      </c>
    </row>
    <row r="411" spans="1:2" x14ac:dyDescent="0.3">
      <c r="A411" s="701">
        <v>400</v>
      </c>
      <c r="B411" s="588">
        <v>0.625</v>
      </c>
    </row>
    <row r="412" spans="1:2" x14ac:dyDescent="0.3">
      <c r="A412" s="701">
        <v>401</v>
      </c>
      <c r="B412" s="588">
        <v>0.62749999999999995</v>
      </c>
    </row>
    <row r="413" spans="1:2" x14ac:dyDescent="0.3">
      <c r="A413" s="701">
        <v>402</v>
      </c>
      <c r="B413" s="588">
        <v>0.63</v>
      </c>
    </row>
    <row r="414" spans="1:2" x14ac:dyDescent="0.3">
      <c r="A414" s="701">
        <v>403</v>
      </c>
      <c r="B414" s="588">
        <v>0.63249999999999995</v>
      </c>
    </row>
    <row r="415" spans="1:2" x14ac:dyDescent="0.3">
      <c r="A415" s="701">
        <v>404</v>
      </c>
      <c r="B415" s="588">
        <v>0.63500000000000001</v>
      </c>
    </row>
    <row r="416" spans="1:2" x14ac:dyDescent="0.3">
      <c r="A416" s="701">
        <v>405</v>
      </c>
      <c r="B416" s="588">
        <v>0.63749999999999996</v>
      </c>
    </row>
    <row r="417" spans="1:2" x14ac:dyDescent="0.3">
      <c r="A417" s="701">
        <v>406</v>
      </c>
      <c r="B417" s="588">
        <v>0.64</v>
      </c>
    </row>
    <row r="418" spans="1:2" x14ac:dyDescent="0.3">
      <c r="A418" s="701">
        <v>407</v>
      </c>
      <c r="B418" s="588">
        <v>0.64249999999999996</v>
      </c>
    </row>
    <row r="419" spans="1:2" x14ac:dyDescent="0.3">
      <c r="A419" s="701">
        <v>408</v>
      </c>
      <c r="B419" s="588">
        <v>0.64500000000000002</v>
      </c>
    </row>
    <row r="420" spans="1:2" x14ac:dyDescent="0.3">
      <c r="A420" s="701">
        <v>409</v>
      </c>
      <c r="B420" s="588">
        <v>0.64749999999999996</v>
      </c>
    </row>
    <row r="421" spans="1:2" x14ac:dyDescent="0.3">
      <c r="A421" s="701">
        <v>410</v>
      </c>
      <c r="B421" s="588">
        <v>0.65</v>
      </c>
    </row>
    <row r="422" spans="1:2" x14ac:dyDescent="0.3">
      <c r="A422" s="701">
        <v>411</v>
      </c>
      <c r="B422" s="588">
        <v>0.65249999999999997</v>
      </c>
    </row>
    <row r="423" spans="1:2" x14ac:dyDescent="0.3">
      <c r="A423" s="701">
        <v>412</v>
      </c>
      <c r="B423" s="588">
        <v>0.65500000000000003</v>
      </c>
    </row>
    <row r="424" spans="1:2" x14ac:dyDescent="0.3">
      <c r="A424" s="701">
        <v>413</v>
      </c>
      <c r="B424" s="588">
        <v>0.65749999999999997</v>
      </c>
    </row>
    <row r="425" spans="1:2" x14ac:dyDescent="0.3">
      <c r="A425" s="701">
        <v>414</v>
      </c>
      <c r="B425" s="588">
        <v>0.66</v>
      </c>
    </row>
    <row r="426" spans="1:2" x14ac:dyDescent="0.3">
      <c r="A426" s="701">
        <v>415</v>
      </c>
      <c r="B426" s="588">
        <v>0.66249999999999998</v>
      </c>
    </row>
    <row r="427" spans="1:2" x14ac:dyDescent="0.3">
      <c r="A427" s="701">
        <v>416</v>
      </c>
      <c r="B427" s="588">
        <v>0.66500000000000004</v>
      </c>
    </row>
    <row r="428" spans="1:2" x14ac:dyDescent="0.3">
      <c r="A428" s="701">
        <v>417</v>
      </c>
      <c r="B428" s="588">
        <v>0.66749999999999998</v>
      </c>
    </row>
    <row r="429" spans="1:2" x14ac:dyDescent="0.3">
      <c r="A429" s="701">
        <v>418</v>
      </c>
      <c r="B429" s="588">
        <v>0.67</v>
      </c>
    </row>
    <row r="430" spans="1:2" x14ac:dyDescent="0.3">
      <c r="A430" s="701">
        <v>419</v>
      </c>
      <c r="B430" s="588">
        <v>0.67249999999999999</v>
      </c>
    </row>
    <row r="431" spans="1:2" x14ac:dyDescent="0.3">
      <c r="A431" s="701">
        <v>420</v>
      </c>
      <c r="B431" s="588">
        <v>0.67500000000000004</v>
      </c>
    </row>
    <row r="432" spans="1:2" x14ac:dyDescent="0.3">
      <c r="A432" s="701">
        <v>421</v>
      </c>
      <c r="B432" s="588">
        <v>0.67749999999999999</v>
      </c>
    </row>
    <row r="433" spans="1:2" x14ac:dyDescent="0.3">
      <c r="A433" s="701">
        <v>422</v>
      </c>
      <c r="B433" s="588">
        <v>0.68</v>
      </c>
    </row>
    <row r="434" spans="1:2" x14ac:dyDescent="0.3">
      <c r="A434" s="701">
        <v>423</v>
      </c>
      <c r="B434" s="588">
        <v>0.6825</v>
      </c>
    </row>
    <row r="435" spans="1:2" x14ac:dyDescent="0.3">
      <c r="A435" s="701">
        <v>424</v>
      </c>
      <c r="B435" s="588">
        <v>0.68500000000000005</v>
      </c>
    </row>
    <row r="436" spans="1:2" x14ac:dyDescent="0.3">
      <c r="A436" s="701">
        <v>425</v>
      </c>
      <c r="B436" s="588">
        <v>0.6875</v>
      </c>
    </row>
    <row r="437" spans="1:2" x14ac:dyDescent="0.3">
      <c r="A437" s="701">
        <v>426</v>
      </c>
      <c r="B437" s="588">
        <v>0.69</v>
      </c>
    </row>
    <row r="438" spans="1:2" x14ac:dyDescent="0.3">
      <c r="A438" s="701">
        <v>427</v>
      </c>
      <c r="B438" s="588">
        <v>0.6925</v>
      </c>
    </row>
    <row r="439" spans="1:2" x14ac:dyDescent="0.3">
      <c r="A439" s="701">
        <v>428</v>
      </c>
      <c r="B439" s="588">
        <v>0.69499999999999995</v>
      </c>
    </row>
    <row r="440" spans="1:2" x14ac:dyDescent="0.3">
      <c r="A440" s="701">
        <v>429</v>
      </c>
      <c r="B440" s="588">
        <v>0.69750000000000001</v>
      </c>
    </row>
    <row r="441" spans="1:2" x14ac:dyDescent="0.3">
      <c r="A441" s="701">
        <v>430</v>
      </c>
      <c r="B441" s="588">
        <v>0.7</v>
      </c>
    </row>
    <row r="442" spans="1:2" x14ac:dyDescent="0.3">
      <c r="A442" s="701">
        <v>431</v>
      </c>
      <c r="B442" s="588">
        <v>0.70250000000000001</v>
      </c>
    </row>
    <row r="443" spans="1:2" x14ac:dyDescent="0.3">
      <c r="A443" s="701">
        <v>432</v>
      </c>
      <c r="B443" s="588">
        <v>0.70499999999999996</v>
      </c>
    </row>
    <row r="444" spans="1:2" x14ac:dyDescent="0.3">
      <c r="A444" s="701">
        <v>433</v>
      </c>
      <c r="B444" s="588">
        <v>0.70750000000000002</v>
      </c>
    </row>
    <row r="445" spans="1:2" x14ac:dyDescent="0.3">
      <c r="A445" s="701">
        <v>434</v>
      </c>
      <c r="B445" s="588">
        <v>0.71</v>
      </c>
    </row>
    <row r="446" spans="1:2" x14ac:dyDescent="0.3">
      <c r="A446" s="701">
        <v>435</v>
      </c>
      <c r="B446" s="588">
        <v>0.71250000000000002</v>
      </c>
    </row>
    <row r="447" spans="1:2" x14ac:dyDescent="0.3">
      <c r="A447" s="701">
        <v>436</v>
      </c>
      <c r="B447" s="588">
        <v>0.71499999999999997</v>
      </c>
    </row>
    <row r="448" spans="1:2" x14ac:dyDescent="0.3">
      <c r="A448" s="701">
        <v>437</v>
      </c>
      <c r="B448" s="588">
        <v>0.71750000000000003</v>
      </c>
    </row>
    <row r="449" spans="1:2" x14ac:dyDescent="0.3">
      <c r="A449" s="701">
        <v>438</v>
      </c>
      <c r="B449" s="588">
        <v>0.72</v>
      </c>
    </row>
    <row r="450" spans="1:2" x14ac:dyDescent="0.3">
      <c r="A450" s="701">
        <v>439</v>
      </c>
      <c r="B450" s="588">
        <v>0.72250000000000003</v>
      </c>
    </row>
    <row r="451" spans="1:2" x14ac:dyDescent="0.3">
      <c r="A451" s="701">
        <v>440</v>
      </c>
      <c r="B451" s="588">
        <v>0.72499999999999998</v>
      </c>
    </row>
    <row r="452" spans="1:2" x14ac:dyDescent="0.3">
      <c r="A452" s="701">
        <v>441</v>
      </c>
      <c r="B452" s="588">
        <v>0.72750000000000004</v>
      </c>
    </row>
    <row r="453" spans="1:2" x14ac:dyDescent="0.3">
      <c r="A453" s="701">
        <v>442</v>
      </c>
      <c r="B453" s="588">
        <v>0.73</v>
      </c>
    </row>
    <row r="454" spans="1:2" x14ac:dyDescent="0.3">
      <c r="A454" s="701">
        <v>443</v>
      </c>
      <c r="B454" s="588">
        <v>0.73250000000000004</v>
      </c>
    </row>
    <row r="455" spans="1:2" x14ac:dyDescent="0.3">
      <c r="A455" s="701">
        <v>444</v>
      </c>
      <c r="B455" s="588">
        <v>0.73499999999999999</v>
      </c>
    </row>
    <row r="456" spans="1:2" x14ac:dyDescent="0.3">
      <c r="A456" s="701">
        <v>445</v>
      </c>
      <c r="B456" s="588">
        <v>0.73750000000000004</v>
      </c>
    </row>
    <row r="457" spans="1:2" x14ac:dyDescent="0.3">
      <c r="A457" s="701">
        <v>446</v>
      </c>
      <c r="B457" s="588">
        <v>0.74</v>
      </c>
    </row>
    <row r="458" spans="1:2" x14ac:dyDescent="0.3">
      <c r="A458" s="701">
        <v>447</v>
      </c>
      <c r="B458" s="588">
        <v>0.74250000000000005</v>
      </c>
    </row>
    <row r="459" spans="1:2" x14ac:dyDescent="0.3">
      <c r="A459" s="701">
        <v>448</v>
      </c>
      <c r="B459" s="588">
        <v>0.745</v>
      </c>
    </row>
    <row r="460" spans="1:2" x14ac:dyDescent="0.3">
      <c r="A460" s="701">
        <v>449</v>
      </c>
      <c r="B460" s="588">
        <v>0.74750000000000005</v>
      </c>
    </row>
    <row r="461" spans="1:2" x14ac:dyDescent="0.3">
      <c r="A461" s="701">
        <v>450</v>
      </c>
      <c r="B461" s="588">
        <v>0.75</v>
      </c>
    </row>
    <row r="462" spans="1:2" x14ac:dyDescent="0.3">
      <c r="A462" s="701">
        <v>451</v>
      </c>
      <c r="B462" s="588">
        <v>0.75249999999999995</v>
      </c>
    </row>
    <row r="463" spans="1:2" x14ac:dyDescent="0.3">
      <c r="A463" s="701">
        <v>452</v>
      </c>
      <c r="B463" s="588">
        <v>0.755</v>
      </c>
    </row>
    <row r="464" spans="1:2" x14ac:dyDescent="0.3">
      <c r="A464" s="701">
        <v>453</v>
      </c>
      <c r="B464" s="588">
        <v>0.75749999999999995</v>
      </c>
    </row>
    <row r="465" spans="1:2" x14ac:dyDescent="0.3">
      <c r="A465" s="701">
        <v>454</v>
      </c>
      <c r="B465" s="588">
        <v>0.76</v>
      </c>
    </row>
    <row r="466" spans="1:2" x14ac:dyDescent="0.3">
      <c r="A466" s="701">
        <v>455</v>
      </c>
      <c r="B466" s="588">
        <v>0.76249999999999996</v>
      </c>
    </row>
    <row r="467" spans="1:2" x14ac:dyDescent="0.3">
      <c r="A467" s="701">
        <v>456</v>
      </c>
      <c r="B467" s="588">
        <v>0.76500000000000001</v>
      </c>
    </row>
    <row r="468" spans="1:2" x14ac:dyDescent="0.3">
      <c r="A468" s="701">
        <v>457</v>
      </c>
      <c r="B468" s="588">
        <v>0.76749999999999996</v>
      </c>
    </row>
    <row r="469" spans="1:2" x14ac:dyDescent="0.3">
      <c r="A469" s="701">
        <v>458</v>
      </c>
      <c r="B469" s="588">
        <v>0.77</v>
      </c>
    </row>
    <row r="470" spans="1:2" x14ac:dyDescent="0.3">
      <c r="A470" s="701">
        <v>459</v>
      </c>
      <c r="B470" s="588">
        <v>0.77249999999999996</v>
      </c>
    </row>
    <row r="471" spans="1:2" x14ac:dyDescent="0.3">
      <c r="A471" s="701">
        <v>460</v>
      </c>
      <c r="B471" s="588">
        <v>0.77500000000000002</v>
      </c>
    </row>
    <row r="472" spans="1:2" x14ac:dyDescent="0.3">
      <c r="A472" s="701">
        <v>461</v>
      </c>
      <c r="B472" s="588">
        <v>0.77749999999999997</v>
      </c>
    </row>
    <row r="473" spans="1:2" x14ac:dyDescent="0.3">
      <c r="A473" s="701">
        <v>462</v>
      </c>
      <c r="B473" s="588">
        <v>0.78</v>
      </c>
    </row>
    <row r="474" spans="1:2" x14ac:dyDescent="0.3">
      <c r="A474" s="701">
        <v>463</v>
      </c>
      <c r="B474" s="588">
        <v>0.78249999999999997</v>
      </c>
    </row>
    <row r="475" spans="1:2" x14ac:dyDescent="0.3">
      <c r="A475" s="701">
        <v>464</v>
      </c>
      <c r="B475" s="588">
        <v>0.78500000000000003</v>
      </c>
    </row>
    <row r="476" spans="1:2" x14ac:dyDescent="0.3">
      <c r="A476" s="701">
        <v>465</v>
      </c>
      <c r="B476" s="588">
        <v>0.78749999999999998</v>
      </c>
    </row>
    <row r="477" spans="1:2" x14ac:dyDescent="0.3">
      <c r="A477" s="701">
        <v>466</v>
      </c>
      <c r="B477" s="588">
        <v>0.79</v>
      </c>
    </row>
    <row r="478" spans="1:2" x14ac:dyDescent="0.3">
      <c r="A478" s="701">
        <v>467</v>
      </c>
      <c r="B478" s="588">
        <v>0.79249999999999998</v>
      </c>
    </row>
    <row r="479" spans="1:2" x14ac:dyDescent="0.3">
      <c r="A479" s="701">
        <v>468</v>
      </c>
      <c r="B479" s="588">
        <v>0.79500000000000004</v>
      </c>
    </row>
    <row r="480" spans="1:2" x14ac:dyDescent="0.3">
      <c r="A480" s="701">
        <v>469</v>
      </c>
      <c r="B480" s="588">
        <v>0.79749999999999999</v>
      </c>
    </row>
    <row r="481" spans="1:2" x14ac:dyDescent="0.3">
      <c r="A481" s="701">
        <v>470</v>
      </c>
      <c r="B481" s="588">
        <v>0.8</v>
      </c>
    </row>
    <row r="482" spans="1:2" x14ac:dyDescent="0.3">
      <c r="A482" s="701">
        <v>471</v>
      </c>
      <c r="B482" s="588">
        <v>0.80249999999999999</v>
      </c>
    </row>
    <row r="483" spans="1:2" x14ac:dyDescent="0.3">
      <c r="A483" s="701">
        <v>472</v>
      </c>
      <c r="B483" s="588">
        <v>0.80500000000000005</v>
      </c>
    </row>
    <row r="484" spans="1:2" x14ac:dyDescent="0.3">
      <c r="A484" s="701">
        <v>473</v>
      </c>
      <c r="B484" s="588">
        <v>0.8075</v>
      </c>
    </row>
    <row r="485" spans="1:2" x14ac:dyDescent="0.3">
      <c r="A485" s="701">
        <v>474</v>
      </c>
      <c r="B485" s="588">
        <v>0.81</v>
      </c>
    </row>
    <row r="486" spans="1:2" x14ac:dyDescent="0.3">
      <c r="A486" s="701">
        <v>475</v>
      </c>
      <c r="B486" s="588">
        <v>0.8125</v>
      </c>
    </row>
    <row r="487" spans="1:2" x14ac:dyDescent="0.3">
      <c r="A487" s="701">
        <v>476</v>
      </c>
      <c r="B487" s="588">
        <v>0.81499999999999995</v>
      </c>
    </row>
    <row r="488" spans="1:2" x14ac:dyDescent="0.3">
      <c r="A488" s="701">
        <v>477</v>
      </c>
      <c r="B488" s="588">
        <v>0.8175</v>
      </c>
    </row>
    <row r="489" spans="1:2" x14ac:dyDescent="0.3">
      <c r="A489" s="701">
        <v>478</v>
      </c>
      <c r="B489" s="588">
        <v>0.82</v>
      </c>
    </row>
    <row r="490" spans="1:2" x14ac:dyDescent="0.3">
      <c r="A490" s="701">
        <v>479</v>
      </c>
      <c r="B490" s="588">
        <v>0.82250000000000001</v>
      </c>
    </row>
    <row r="491" spans="1:2" x14ac:dyDescent="0.3">
      <c r="A491" s="701">
        <v>480</v>
      </c>
      <c r="B491" s="588">
        <v>0.82499999999999996</v>
      </c>
    </row>
    <row r="492" spans="1:2" x14ac:dyDescent="0.3">
      <c r="A492" s="701">
        <v>481</v>
      </c>
      <c r="B492" s="588">
        <v>0.82750000000000001</v>
      </c>
    </row>
    <row r="493" spans="1:2" x14ac:dyDescent="0.3">
      <c r="A493" s="701">
        <v>482</v>
      </c>
      <c r="B493" s="588">
        <v>0.83</v>
      </c>
    </row>
    <row r="494" spans="1:2" x14ac:dyDescent="0.3">
      <c r="A494" s="701">
        <v>483</v>
      </c>
      <c r="B494" s="588">
        <v>0.83250000000000002</v>
      </c>
    </row>
    <row r="495" spans="1:2" x14ac:dyDescent="0.3">
      <c r="A495" s="701">
        <v>484</v>
      </c>
      <c r="B495" s="588">
        <v>0.83499999999999996</v>
      </c>
    </row>
    <row r="496" spans="1:2" x14ac:dyDescent="0.3">
      <c r="A496" s="701">
        <v>485</v>
      </c>
      <c r="B496" s="588">
        <v>0.83750000000000002</v>
      </c>
    </row>
    <row r="497" spans="1:2" x14ac:dyDescent="0.3">
      <c r="A497" s="701">
        <v>486</v>
      </c>
      <c r="B497" s="588">
        <v>0.84</v>
      </c>
    </row>
    <row r="498" spans="1:2" x14ac:dyDescent="0.3">
      <c r="A498" s="701">
        <v>487</v>
      </c>
      <c r="B498" s="588">
        <v>0.84250000000000003</v>
      </c>
    </row>
    <row r="499" spans="1:2" x14ac:dyDescent="0.3">
      <c r="A499" s="701">
        <v>488</v>
      </c>
      <c r="B499" s="588">
        <v>0.84499999999999997</v>
      </c>
    </row>
    <row r="500" spans="1:2" x14ac:dyDescent="0.3">
      <c r="A500" s="701">
        <v>489</v>
      </c>
      <c r="B500" s="588">
        <v>0.84750000000000003</v>
      </c>
    </row>
    <row r="501" spans="1:2" x14ac:dyDescent="0.3">
      <c r="A501" s="701">
        <v>490</v>
      </c>
      <c r="B501" s="588">
        <v>0.85</v>
      </c>
    </row>
    <row r="502" spans="1:2" x14ac:dyDescent="0.3">
      <c r="A502" s="701">
        <v>491</v>
      </c>
      <c r="B502" s="588">
        <v>0.85250000000000004</v>
      </c>
    </row>
    <row r="503" spans="1:2" x14ac:dyDescent="0.3">
      <c r="A503" s="701">
        <v>492</v>
      </c>
      <c r="B503" s="588">
        <v>0.85499999999999998</v>
      </c>
    </row>
    <row r="504" spans="1:2" x14ac:dyDescent="0.3">
      <c r="A504" s="701">
        <v>493</v>
      </c>
      <c r="B504" s="588">
        <v>0.85750000000000004</v>
      </c>
    </row>
    <row r="505" spans="1:2" x14ac:dyDescent="0.3">
      <c r="A505" s="701">
        <v>494</v>
      </c>
      <c r="B505" s="588">
        <v>0.86</v>
      </c>
    </row>
    <row r="506" spans="1:2" x14ac:dyDescent="0.3">
      <c r="A506" s="701">
        <v>495</v>
      </c>
      <c r="B506" s="588">
        <v>0.86250000000000004</v>
      </c>
    </row>
    <row r="507" spans="1:2" x14ac:dyDescent="0.3">
      <c r="A507" s="701">
        <v>496</v>
      </c>
      <c r="B507" s="588">
        <v>0.86499999999999999</v>
      </c>
    </row>
    <row r="508" spans="1:2" x14ac:dyDescent="0.3">
      <c r="A508" s="701">
        <v>497</v>
      </c>
      <c r="B508" s="588">
        <v>0.86750000000000005</v>
      </c>
    </row>
    <row r="509" spans="1:2" x14ac:dyDescent="0.3">
      <c r="A509" s="701">
        <v>498</v>
      </c>
      <c r="B509" s="588">
        <v>0.87</v>
      </c>
    </row>
    <row r="510" spans="1:2" x14ac:dyDescent="0.3">
      <c r="A510" s="701">
        <v>499</v>
      </c>
      <c r="B510" s="588">
        <v>0.87250000000000005</v>
      </c>
    </row>
    <row r="511" spans="1:2" x14ac:dyDescent="0.3">
      <c r="A511" s="701">
        <v>500</v>
      </c>
      <c r="B511" s="588">
        <v>0.875</v>
      </c>
    </row>
    <row r="512" spans="1:2" x14ac:dyDescent="0.3">
      <c r="A512" s="701">
        <v>501</v>
      </c>
      <c r="B512" s="588">
        <v>0.87749999999999995</v>
      </c>
    </row>
    <row r="513" spans="1:2" x14ac:dyDescent="0.3">
      <c r="A513" s="701">
        <v>502</v>
      </c>
      <c r="B513" s="588">
        <v>0.88</v>
      </c>
    </row>
    <row r="514" spans="1:2" x14ac:dyDescent="0.3">
      <c r="A514" s="701">
        <v>503</v>
      </c>
      <c r="B514" s="588">
        <v>0.88249999999999995</v>
      </c>
    </row>
    <row r="515" spans="1:2" x14ac:dyDescent="0.3">
      <c r="A515" s="701">
        <v>504</v>
      </c>
      <c r="B515" s="588">
        <v>0.88500000000000001</v>
      </c>
    </row>
    <row r="516" spans="1:2" x14ac:dyDescent="0.3">
      <c r="A516" s="701">
        <v>505</v>
      </c>
      <c r="B516" s="588">
        <v>0.88749999999999996</v>
      </c>
    </row>
    <row r="517" spans="1:2" x14ac:dyDescent="0.3">
      <c r="A517" s="701">
        <v>506</v>
      </c>
      <c r="B517" s="588">
        <v>0.89</v>
      </c>
    </row>
    <row r="518" spans="1:2" x14ac:dyDescent="0.3">
      <c r="A518" s="701">
        <v>507</v>
      </c>
      <c r="B518" s="588">
        <v>0.89249999999999996</v>
      </c>
    </row>
    <row r="519" spans="1:2" x14ac:dyDescent="0.3">
      <c r="A519" s="701">
        <v>508</v>
      </c>
      <c r="B519" s="588">
        <v>0.89500000000000002</v>
      </c>
    </row>
    <row r="520" spans="1:2" x14ac:dyDescent="0.3">
      <c r="A520" s="701">
        <v>509</v>
      </c>
      <c r="B520" s="588">
        <v>0.89749999999999996</v>
      </c>
    </row>
    <row r="521" spans="1:2" x14ac:dyDescent="0.3">
      <c r="A521" s="701">
        <v>510</v>
      </c>
      <c r="B521" s="588">
        <v>0.9</v>
      </c>
    </row>
    <row r="522" spans="1:2" x14ac:dyDescent="0.3">
      <c r="A522" s="701">
        <v>511</v>
      </c>
      <c r="B522" s="588">
        <v>0.90249999999999997</v>
      </c>
    </row>
    <row r="523" spans="1:2" x14ac:dyDescent="0.3">
      <c r="A523" s="701">
        <v>512</v>
      </c>
      <c r="B523" s="588">
        <v>0.90500000000000003</v>
      </c>
    </row>
    <row r="524" spans="1:2" x14ac:dyDescent="0.3">
      <c r="A524" s="701">
        <v>513</v>
      </c>
      <c r="B524" s="588">
        <v>0.90749999999999997</v>
      </c>
    </row>
    <row r="525" spans="1:2" x14ac:dyDescent="0.3">
      <c r="A525" s="701">
        <v>514</v>
      </c>
      <c r="B525" s="588">
        <v>0.91</v>
      </c>
    </row>
    <row r="526" spans="1:2" x14ac:dyDescent="0.3">
      <c r="A526" s="701">
        <v>515</v>
      </c>
      <c r="B526" s="588">
        <v>0.91249999999999998</v>
      </c>
    </row>
    <row r="527" spans="1:2" x14ac:dyDescent="0.3">
      <c r="A527" s="701">
        <v>516</v>
      </c>
      <c r="B527" s="588">
        <v>0.91500000000000004</v>
      </c>
    </row>
    <row r="528" spans="1:2" x14ac:dyDescent="0.3">
      <c r="A528" s="701">
        <v>517</v>
      </c>
      <c r="B528" s="588">
        <v>0.91749999999999998</v>
      </c>
    </row>
    <row r="529" spans="1:2" x14ac:dyDescent="0.3">
      <c r="A529" s="701">
        <v>518</v>
      </c>
      <c r="B529" s="588">
        <v>0.92</v>
      </c>
    </row>
    <row r="530" spans="1:2" x14ac:dyDescent="0.3">
      <c r="A530" s="701">
        <v>519</v>
      </c>
      <c r="B530" s="588">
        <v>0.92249999999999999</v>
      </c>
    </row>
    <row r="531" spans="1:2" x14ac:dyDescent="0.3">
      <c r="A531" s="701">
        <v>520</v>
      </c>
      <c r="B531" s="588">
        <v>0.92500000000000004</v>
      </c>
    </row>
    <row r="532" spans="1:2" x14ac:dyDescent="0.3">
      <c r="A532" s="701">
        <v>521</v>
      </c>
      <c r="B532" s="588">
        <v>0.92749999999999999</v>
      </c>
    </row>
    <row r="533" spans="1:2" x14ac:dyDescent="0.3">
      <c r="A533" s="701">
        <v>522</v>
      </c>
      <c r="B533" s="588">
        <v>0.93</v>
      </c>
    </row>
    <row r="534" spans="1:2" x14ac:dyDescent="0.3">
      <c r="A534" s="701">
        <v>523</v>
      </c>
      <c r="B534" s="588">
        <v>0.9325</v>
      </c>
    </row>
    <row r="535" spans="1:2" x14ac:dyDescent="0.3">
      <c r="A535" s="701">
        <v>524</v>
      </c>
      <c r="B535" s="588">
        <v>0.93500000000000005</v>
      </c>
    </row>
    <row r="536" spans="1:2" x14ac:dyDescent="0.3">
      <c r="A536" s="701">
        <v>525</v>
      </c>
      <c r="B536" s="588">
        <v>0.9375</v>
      </c>
    </row>
    <row r="537" spans="1:2" x14ac:dyDescent="0.3">
      <c r="A537" s="701">
        <v>526</v>
      </c>
      <c r="B537" s="588">
        <v>0.94</v>
      </c>
    </row>
    <row r="538" spans="1:2" x14ac:dyDescent="0.3">
      <c r="A538" s="701">
        <v>527</v>
      </c>
      <c r="B538" s="588">
        <v>0.9425</v>
      </c>
    </row>
    <row r="539" spans="1:2" x14ac:dyDescent="0.3">
      <c r="A539" s="701">
        <v>528</v>
      </c>
      <c r="B539" s="588">
        <v>0.94499999999999995</v>
      </c>
    </row>
    <row r="540" spans="1:2" x14ac:dyDescent="0.3">
      <c r="A540" s="701">
        <v>529</v>
      </c>
      <c r="B540" s="588">
        <v>0.94750000000000001</v>
      </c>
    </row>
    <row r="541" spans="1:2" x14ac:dyDescent="0.3">
      <c r="A541" s="701">
        <v>530</v>
      </c>
      <c r="B541" s="588">
        <v>0.95</v>
      </c>
    </row>
    <row r="542" spans="1:2" x14ac:dyDescent="0.3">
      <c r="A542" s="701">
        <v>531</v>
      </c>
      <c r="B542" s="588">
        <v>0.95250000000000001</v>
      </c>
    </row>
    <row r="543" spans="1:2" x14ac:dyDescent="0.3">
      <c r="A543" s="701">
        <v>532</v>
      </c>
      <c r="B543" s="588">
        <v>0.95499999999999996</v>
      </c>
    </row>
    <row r="544" spans="1:2" x14ac:dyDescent="0.3">
      <c r="A544" s="701">
        <v>533</v>
      </c>
      <c r="B544" s="588">
        <v>0.95750000000000002</v>
      </c>
    </row>
    <row r="545" spans="1:2" x14ac:dyDescent="0.3">
      <c r="A545" s="701">
        <v>534</v>
      </c>
      <c r="B545" s="588">
        <v>0.96</v>
      </c>
    </row>
    <row r="546" spans="1:2" x14ac:dyDescent="0.3">
      <c r="A546" s="701">
        <v>535</v>
      </c>
      <c r="B546" s="588">
        <v>0.96250000000000002</v>
      </c>
    </row>
    <row r="547" spans="1:2" x14ac:dyDescent="0.3">
      <c r="A547" s="701">
        <v>536</v>
      </c>
      <c r="B547" s="588">
        <v>0.96499999999999997</v>
      </c>
    </row>
    <row r="548" spans="1:2" x14ac:dyDescent="0.3">
      <c r="A548" s="701">
        <v>537</v>
      </c>
      <c r="B548" s="588">
        <v>0.96750000000000003</v>
      </c>
    </row>
    <row r="549" spans="1:2" x14ac:dyDescent="0.3">
      <c r="A549" s="701">
        <v>538</v>
      </c>
      <c r="B549" s="588">
        <v>0.97</v>
      </c>
    </row>
    <row r="550" spans="1:2" x14ac:dyDescent="0.3">
      <c r="A550" s="701">
        <v>539</v>
      </c>
      <c r="B550" s="588">
        <v>0.97250000000000003</v>
      </c>
    </row>
    <row r="551" spans="1:2" x14ac:dyDescent="0.3">
      <c r="A551" s="701">
        <v>540</v>
      </c>
      <c r="B551" s="588">
        <v>0.97499999999999998</v>
      </c>
    </row>
    <row r="552" spans="1:2" x14ac:dyDescent="0.3">
      <c r="A552" s="701">
        <v>541</v>
      </c>
      <c r="B552" s="588">
        <v>0.97750000000000004</v>
      </c>
    </row>
    <row r="553" spans="1:2" x14ac:dyDescent="0.3">
      <c r="A553" s="701">
        <v>542</v>
      </c>
      <c r="B553" s="588">
        <v>0.98</v>
      </c>
    </row>
    <row r="554" spans="1:2" x14ac:dyDescent="0.3">
      <c r="A554" s="701">
        <v>543</v>
      </c>
      <c r="B554" s="588">
        <v>0.98250000000000004</v>
      </c>
    </row>
    <row r="555" spans="1:2" x14ac:dyDescent="0.3">
      <c r="A555" s="701">
        <v>544</v>
      </c>
      <c r="B555" s="588">
        <v>0.98499999999999999</v>
      </c>
    </row>
    <row r="556" spans="1:2" x14ac:dyDescent="0.3">
      <c r="A556" s="701">
        <v>545</v>
      </c>
      <c r="B556" s="588">
        <v>0.98750000000000004</v>
      </c>
    </row>
    <row r="557" spans="1:2" x14ac:dyDescent="0.3">
      <c r="A557" s="701">
        <v>546</v>
      </c>
      <c r="B557" s="588">
        <v>0.99</v>
      </c>
    </row>
    <row r="558" spans="1:2" x14ac:dyDescent="0.3">
      <c r="A558" s="701">
        <v>547</v>
      </c>
      <c r="B558" s="588">
        <v>0.99250000000000005</v>
      </c>
    </row>
    <row r="559" spans="1:2" x14ac:dyDescent="0.3">
      <c r="A559" s="701">
        <v>548</v>
      </c>
      <c r="B559" s="588">
        <v>0.995</v>
      </c>
    </row>
    <row r="560" spans="1:2" x14ac:dyDescent="0.3">
      <c r="A560" s="701">
        <v>549</v>
      </c>
      <c r="B560" s="588">
        <v>0.99750000000000005</v>
      </c>
    </row>
    <row r="561" spans="1:2" x14ac:dyDescent="0.3">
      <c r="A561" s="701">
        <v>550</v>
      </c>
      <c r="B561" s="588">
        <v>1</v>
      </c>
    </row>
    <row r="562" spans="1:2" x14ac:dyDescent="0.3">
      <c r="A562" s="701">
        <v>551</v>
      </c>
      <c r="B562" s="588">
        <v>1</v>
      </c>
    </row>
    <row r="563" spans="1:2" x14ac:dyDescent="0.3">
      <c r="A563" s="701">
        <v>552</v>
      </c>
      <c r="B563" s="588">
        <v>1</v>
      </c>
    </row>
    <row r="564" spans="1:2" x14ac:dyDescent="0.3">
      <c r="A564" s="701">
        <v>553</v>
      </c>
      <c r="B564" s="588">
        <v>1</v>
      </c>
    </row>
    <row r="565" spans="1:2" x14ac:dyDescent="0.3">
      <c r="A565" s="701">
        <v>554</v>
      </c>
      <c r="B565" s="588">
        <v>1</v>
      </c>
    </row>
    <row r="566" spans="1:2" x14ac:dyDescent="0.3">
      <c r="A566" s="701">
        <v>555</v>
      </c>
      <c r="B566" s="588">
        <v>1</v>
      </c>
    </row>
    <row r="567" spans="1:2" x14ac:dyDescent="0.3">
      <c r="A567" s="701">
        <v>556</v>
      </c>
      <c r="B567" s="588">
        <v>1</v>
      </c>
    </row>
    <row r="568" spans="1:2" x14ac:dyDescent="0.3">
      <c r="A568" s="701">
        <v>557</v>
      </c>
      <c r="B568" s="588">
        <v>1</v>
      </c>
    </row>
    <row r="569" spans="1:2" x14ac:dyDescent="0.3">
      <c r="A569" s="701">
        <v>558</v>
      </c>
      <c r="B569" s="588">
        <v>1</v>
      </c>
    </row>
    <row r="570" spans="1:2" x14ac:dyDescent="0.3">
      <c r="A570" s="701">
        <v>559</v>
      </c>
      <c r="B570" s="588">
        <v>1</v>
      </c>
    </row>
    <row r="571" spans="1:2" x14ac:dyDescent="0.3">
      <c r="A571" s="701">
        <v>560</v>
      </c>
      <c r="B571" s="588">
        <v>1</v>
      </c>
    </row>
    <row r="572" spans="1:2" x14ac:dyDescent="0.3">
      <c r="A572" s="701">
        <v>561</v>
      </c>
      <c r="B572" s="588">
        <v>1</v>
      </c>
    </row>
    <row r="573" spans="1:2" x14ac:dyDescent="0.3">
      <c r="A573" s="701">
        <v>562</v>
      </c>
      <c r="B573" s="588">
        <v>1</v>
      </c>
    </row>
    <row r="574" spans="1:2" x14ac:dyDescent="0.3">
      <c r="A574" s="701">
        <v>563</v>
      </c>
      <c r="B574" s="588">
        <v>1</v>
      </c>
    </row>
    <row r="575" spans="1:2" x14ac:dyDescent="0.3">
      <c r="A575" s="701">
        <v>564</v>
      </c>
      <c r="B575" s="588">
        <v>1</v>
      </c>
    </row>
    <row r="576" spans="1:2" x14ac:dyDescent="0.3">
      <c r="A576" s="701">
        <v>565</v>
      </c>
      <c r="B576" s="588">
        <v>1</v>
      </c>
    </row>
    <row r="577" spans="1:2" x14ac:dyDescent="0.3">
      <c r="A577" s="701">
        <v>566</v>
      </c>
      <c r="B577" s="588">
        <v>1</v>
      </c>
    </row>
    <row r="578" spans="1:2" x14ac:dyDescent="0.3">
      <c r="A578" s="701">
        <v>567</v>
      </c>
      <c r="B578" s="588">
        <v>1</v>
      </c>
    </row>
    <row r="579" spans="1:2" x14ac:dyDescent="0.3">
      <c r="A579" s="701">
        <v>568</v>
      </c>
      <c r="B579" s="588">
        <v>1</v>
      </c>
    </row>
    <row r="580" spans="1:2" x14ac:dyDescent="0.3">
      <c r="A580" s="701">
        <v>569</v>
      </c>
      <c r="B580" s="588">
        <v>1</v>
      </c>
    </row>
    <row r="581" spans="1:2" x14ac:dyDescent="0.3">
      <c r="A581" s="701">
        <v>570</v>
      </c>
      <c r="B581" s="588">
        <v>1</v>
      </c>
    </row>
    <row r="582" spans="1:2" x14ac:dyDescent="0.3">
      <c r="A582" s="701">
        <v>571</v>
      </c>
      <c r="B582" s="588">
        <v>1</v>
      </c>
    </row>
    <row r="583" spans="1:2" x14ac:dyDescent="0.3">
      <c r="A583" s="701">
        <v>572</v>
      </c>
      <c r="B583" s="588">
        <v>1</v>
      </c>
    </row>
    <row r="584" spans="1:2" x14ac:dyDescent="0.3">
      <c r="A584" s="701">
        <v>573</v>
      </c>
      <c r="B584" s="588">
        <v>1</v>
      </c>
    </row>
    <row r="585" spans="1:2" x14ac:dyDescent="0.3">
      <c r="A585" s="701">
        <v>574</v>
      </c>
      <c r="B585" s="588">
        <v>1</v>
      </c>
    </row>
    <row r="586" spans="1:2" x14ac:dyDescent="0.3">
      <c r="A586" s="701">
        <v>575</v>
      </c>
      <c r="B586" s="588">
        <v>1</v>
      </c>
    </row>
    <row r="587" spans="1:2" x14ac:dyDescent="0.3">
      <c r="A587" s="701">
        <v>576</v>
      </c>
      <c r="B587" s="588">
        <v>1</v>
      </c>
    </row>
    <row r="588" spans="1:2" x14ac:dyDescent="0.3">
      <c r="A588" s="701">
        <v>577</v>
      </c>
      <c r="B588" s="588">
        <v>1</v>
      </c>
    </row>
    <row r="589" spans="1:2" x14ac:dyDescent="0.3">
      <c r="A589" s="701">
        <v>578</v>
      </c>
      <c r="B589" s="588">
        <v>1</v>
      </c>
    </row>
    <row r="590" spans="1:2" x14ac:dyDescent="0.3">
      <c r="A590" s="701">
        <v>579</v>
      </c>
      <c r="B590" s="588">
        <v>1</v>
      </c>
    </row>
    <row r="591" spans="1:2" x14ac:dyDescent="0.3">
      <c r="A591" s="701">
        <v>580</v>
      </c>
      <c r="B591" s="588">
        <v>1</v>
      </c>
    </row>
    <row r="592" spans="1:2" x14ac:dyDescent="0.3">
      <c r="A592" s="701">
        <v>581</v>
      </c>
      <c r="B592" s="588">
        <v>1</v>
      </c>
    </row>
    <row r="593" spans="1:2" x14ac:dyDescent="0.3">
      <c r="A593" s="701">
        <v>582</v>
      </c>
      <c r="B593" s="588">
        <v>1</v>
      </c>
    </row>
    <row r="594" spans="1:2" x14ac:dyDescent="0.3">
      <c r="A594" s="701">
        <v>583</v>
      </c>
      <c r="B594" s="588">
        <v>1</v>
      </c>
    </row>
    <row r="595" spans="1:2" x14ac:dyDescent="0.3">
      <c r="A595" s="701">
        <v>584</v>
      </c>
      <c r="B595" s="588">
        <v>1</v>
      </c>
    </row>
    <row r="596" spans="1:2" x14ac:dyDescent="0.3">
      <c r="A596" s="701">
        <v>585</v>
      </c>
      <c r="B596" s="588">
        <v>1</v>
      </c>
    </row>
    <row r="597" spans="1:2" x14ac:dyDescent="0.3">
      <c r="A597" s="701">
        <v>586</v>
      </c>
      <c r="B597" s="588">
        <v>1</v>
      </c>
    </row>
    <row r="598" spans="1:2" x14ac:dyDescent="0.3">
      <c r="A598" s="701">
        <v>587</v>
      </c>
      <c r="B598" s="588">
        <v>1</v>
      </c>
    </row>
    <row r="599" spans="1:2" x14ac:dyDescent="0.3">
      <c r="A599" s="701">
        <v>588</v>
      </c>
      <c r="B599" s="588">
        <v>1</v>
      </c>
    </row>
    <row r="600" spans="1:2" x14ac:dyDescent="0.3">
      <c r="A600" s="701">
        <v>589</v>
      </c>
      <c r="B600" s="588">
        <v>1</v>
      </c>
    </row>
    <row r="601" spans="1:2" x14ac:dyDescent="0.3">
      <c r="A601" s="701">
        <v>590</v>
      </c>
      <c r="B601" s="588">
        <v>1</v>
      </c>
    </row>
    <row r="602" spans="1:2" x14ac:dyDescent="0.3">
      <c r="A602" s="701">
        <v>591</v>
      </c>
      <c r="B602" s="588">
        <v>1</v>
      </c>
    </row>
    <row r="603" spans="1:2" x14ac:dyDescent="0.3">
      <c r="A603" s="701">
        <v>592</v>
      </c>
      <c r="B603" s="588">
        <v>1</v>
      </c>
    </row>
    <row r="604" spans="1:2" x14ac:dyDescent="0.3">
      <c r="A604" s="701">
        <v>593</v>
      </c>
      <c r="B604" s="588">
        <v>1</v>
      </c>
    </row>
    <row r="605" spans="1:2" x14ac:dyDescent="0.3">
      <c r="A605" s="701">
        <v>594</v>
      </c>
      <c r="B605" s="588">
        <v>1</v>
      </c>
    </row>
    <row r="606" spans="1:2" x14ac:dyDescent="0.3">
      <c r="A606" s="701">
        <v>595</v>
      </c>
      <c r="B606" s="588">
        <v>1</v>
      </c>
    </row>
    <row r="607" spans="1:2" x14ac:dyDescent="0.3">
      <c r="A607" s="701">
        <v>596</v>
      </c>
      <c r="B607" s="588">
        <v>1</v>
      </c>
    </row>
    <row r="608" spans="1:2" x14ac:dyDescent="0.3">
      <c r="A608" s="701">
        <v>597</v>
      </c>
      <c r="B608" s="588">
        <v>1</v>
      </c>
    </row>
    <row r="609" spans="1:2" x14ac:dyDescent="0.3">
      <c r="A609" s="701">
        <v>598</v>
      </c>
      <c r="B609" s="588">
        <v>1</v>
      </c>
    </row>
    <row r="610" spans="1:2" x14ac:dyDescent="0.3">
      <c r="A610" s="701">
        <v>599</v>
      </c>
      <c r="B610" s="588">
        <v>1</v>
      </c>
    </row>
    <row r="611" spans="1:2" x14ac:dyDescent="0.3">
      <c r="A611" s="701">
        <v>600</v>
      </c>
      <c r="B611" s="588">
        <v>1</v>
      </c>
    </row>
    <row r="612" spans="1:2" x14ac:dyDescent="0.3">
      <c r="A612" s="701">
        <v>601</v>
      </c>
      <c r="B612" s="588">
        <v>1</v>
      </c>
    </row>
    <row r="613" spans="1:2" x14ac:dyDescent="0.3">
      <c r="A613" s="701">
        <v>602</v>
      </c>
      <c r="B613" s="588">
        <v>1</v>
      </c>
    </row>
    <row r="614" spans="1:2" x14ac:dyDescent="0.3">
      <c r="A614" s="701">
        <v>603</v>
      </c>
      <c r="B614" s="588">
        <v>1</v>
      </c>
    </row>
    <row r="615" spans="1:2" x14ac:dyDescent="0.3">
      <c r="A615" s="701">
        <v>604</v>
      </c>
      <c r="B615" s="588">
        <v>1</v>
      </c>
    </row>
    <row r="616" spans="1:2" x14ac:dyDescent="0.3">
      <c r="A616" s="701">
        <v>605</v>
      </c>
      <c r="B616" s="588">
        <v>1</v>
      </c>
    </row>
    <row r="617" spans="1:2" x14ac:dyDescent="0.3">
      <c r="A617" s="701">
        <v>606</v>
      </c>
      <c r="B617" s="588">
        <v>1</v>
      </c>
    </row>
    <row r="618" spans="1:2" x14ac:dyDescent="0.3">
      <c r="A618" s="701">
        <v>607</v>
      </c>
      <c r="B618" s="588">
        <v>1</v>
      </c>
    </row>
    <row r="619" spans="1:2" x14ac:dyDescent="0.3">
      <c r="A619" s="701">
        <v>608</v>
      </c>
      <c r="B619" s="588">
        <v>1</v>
      </c>
    </row>
    <row r="620" spans="1:2" x14ac:dyDescent="0.3">
      <c r="A620" s="701">
        <v>609</v>
      </c>
      <c r="B620" s="588">
        <v>1</v>
      </c>
    </row>
    <row r="621" spans="1:2" x14ac:dyDescent="0.3">
      <c r="A621" s="701">
        <v>610</v>
      </c>
      <c r="B621" s="588">
        <v>1</v>
      </c>
    </row>
    <row r="622" spans="1:2" x14ac:dyDescent="0.3">
      <c r="A622" s="701">
        <v>611</v>
      </c>
      <c r="B622" s="588">
        <v>1</v>
      </c>
    </row>
    <row r="623" spans="1:2" x14ac:dyDescent="0.3">
      <c r="A623" s="701">
        <v>612</v>
      </c>
      <c r="B623" s="588">
        <v>1</v>
      </c>
    </row>
    <row r="624" spans="1:2" x14ac:dyDescent="0.3">
      <c r="A624" s="701">
        <v>613</v>
      </c>
      <c r="B624" s="588">
        <v>1</v>
      </c>
    </row>
    <row r="625" spans="1:2" x14ac:dyDescent="0.3">
      <c r="A625" s="701">
        <v>614</v>
      </c>
      <c r="B625" s="588">
        <v>1</v>
      </c>
    </row>
    <row r="626" spans="1:2" x14ac:dyDescent="0.3">
      <c r="A626" s="701">
        <v>615</v>
      </c>
      <c r="B626" s="588">
        <v>1</v>
      </c>
    </row>
    <row r="627" spans="1:2" x14ac:dyDescent="0.3">
      <c r="A627" s="701">
        <v>616</v>
      </c>
      <c r="B627" s="588">
        <v>1</v>
      </c>
    </row>
    <row r="628" spans="1:2" x14ac:dyDescent="0.3">
      <c r="A628" s="701">
        <v>617</v>
      </c>
      <c r="B628" s="588">
        <v>1</v>
      </c>
    </row>
    <row r="629" spans="1:2" x14ac:dyDescent="0.3">
      <c r="A629" s="701">
        <v>618</v>
      </c>
      <c r="B629" s="588">
        <v>1</v>
      </c>
    </row>
    <row r="630" spans="1:2" x14ac:dyDescent="0.3">
      <c r="A630" s="701">
        <v>619</v>
      </c>
      <c r="B630" s="588">
        <v>1</v>
      </c>
    </row>
    <row r="631" spans="1:2" x14ac:dyDescent="0.3">
      <c r="A631" s="701">
        <v>620</v>
      </c>
      <c r="B631" s="588">
        <v>1</v>
      </c>
    </row>
    <row r="632" spans="1:2" x14ac:dyDescent="0.3">
      <c r="A632" s="701">
        <v>621</v>
      </c>
      <c r="B632" s="588">
        <v>1</v>
      </c>
    </row>
    <row r="633" spans="1:2" x14ac:dyDescent="0.3">
      <c r="A633" s="701">
        <v>622</v>
      </c>
      <c r="B633" s="588">
        <v>1</v>
      </c>
    </row>
    <row r="634" spans="1:2" x14ac:dyDescent="0.3">
      <c r="A634" s="701">
        <v>623</v>
      </c>
      <c r="B634" s="588">
        <v>1</v>
      </c>
    </row>
    <row r="635" spans="1:2" x14ac:dyDescent="0.3">
      <c r="A635" s="701">
        <v>624</v>
      </c>
      <c r="B635" s="588">
        <v>1</v>
      </c>
    </row>
    <row r="636" spans="1:2" x14ac:dyDescent="0.3">
      <c r="A636" s="701">
        <v>625</v>
      </c>
      <c r="B636" s="588">
        <v>1</v>
      </c>
    </row>
    <row r="637" spans="1:2" x14ac:dyDescent="0.3">
      <c r="A637" s="701">
        <v>626</v>
      </c>
      <c r="B637" s="588">
        <v>1</v>
      </c>
    </row>
    <row r="638" spans="1:2" x14ac:dyDescent="0.3">
      <c r="A638" s="701">
        <v>627</v>
      </c>
      <c r="B638" s="588">
        <v>1</v>
      </c>
    </row>
    <row r="639" spans="1:2" x14ac:dyDescent="0.3">
      <c r="A639" s="701">
        <v>628</v>
      </c>
      <c r="B639" s="588">
        <v>1</v>
      </c>
    </row>
    <row r="640" spans="1:2" x14ac:dyDescent="0.3">
      <c r="A640" s="701">
        <v>629</v>
      </c>
      <c r="B640" s="588">
        <v>1</v>
      </c>
    </row>
    <row r="641" spans="1:2" x14ac:dyDescent="0.3">
      <c r="A641" s="701">
        <v>630</v>
      </c>
      <c r="B641" s="588">
        <v>1</v>
      </c>
    </row>
    <row r="642" spans="1:2" x14ac:dyDescent="0.3">
      <c r="A642" s="701">
        <v>631</v>
      </c>
      <c r="B642" s="588">
        <v>1</v>
      </c>
    </row>
    <row r="643" spans="1:2" x14ac:dyDescent="0.3">
      <c r="A643" s="701">
        <v>632</v>
      </c>
      <c r="B643" s="588">
        <v>1</v>
      </c>
    </row>
    <row r="644" spans="1:2" x14ac:dyDescent="0.3">
      <c r="A644" s="701">
        <v>633</v>
      </c>
      <c r="B644" s="588">
        <v>1</v>
      </c>
    </row>
    <row r="645" spans="1:2" x14ac:dyDescent="0.3">
      <c r="A645" s="701">
        <v>634</v>
      </c>
      <c r="B645" s="588">
        <v>1</v>
      </c>
    </row>
    <row r="646" spans="1:2" x14ac:dyDescent="0.3">
      <c r="A646" s="701">
        <v>635</v>
      </c>
      <c r="B646" s="588">
        <v>1</v>
      </c>
    </row>
    <row r="647" spans="1:2" x14ac:dyDescent="0.3">
      <c r="A647" s="701">
        <v>636</v>
      </c>
      <c r="B647" s="588">
        <v>1</v>
      </c>
    </row>
    <row r="648" spans="1:2" x14ac:dyDescent="0.3">
      <c r="A648" s="701">
        <v>637</v>
      </c>
      <c r="B648" s="588">
        <v>1</v>
      </c>
    </row>
    <row r="649" spans="1:2" x14ac:dyDescent="0.3">
      <c r="A649" s="701">
        <v>638</v>
      </c>
      <c r="B649" s="588">
        <v>1</v>
      </c>
    </row>
    <row r="650" spans="1:2" x14ac:dyDescent="0.3">
      <c r="A650" s="701">
        <v>639</v>
      </c>
      <c r="B650" s="588">
        <v>1</v>
      </c>
    </row>
    <row r="651" spans="1:2" x14ac:dyDescent="0.3">
      <c r="A651" s="701">
        <v>640</v>
      </c>
      <c r="B651" s="588">
        <v>1</v>
      </c>
    </row>
    <row r="652" spans="1:2" x14ac:dyDescent="0.3">
      <c r="A652" s="701">
        <v>641</v>
      </c>
      <c r="B652" s="588">
        <v>1</v>
      </c>
    </row>
    <row r="653" spans="1:2" x14ac:dyDescent="0.3">
      <c r="A653" s="701">
        <v>642</v>
      </c>
      <c r="B653" s="588">
        <v>1</v>
      </c>
    </row>
    <row r="654" spans="1:2" x14ac:dyDescent="0.3">
      <c r="A654" s="701">
        <v>643</v>
      </c>
      <c r="B654" s="588">
        <v>1</v>
      </c>
    </row>
    <row r="655" spans="1:2" x14ac:dyDescent="0.3">
      <c r="A655" s="701">
        <v>644</v>
      </c>
      <c r="B655" s="588">
        <v>1</v>
      </c>
    </row>
    <row r="656" spans="1:2" x14ac:dyDescent="0.3">
      <c r="A656" s="701">
        <v>645</v>
      </c>
      <c r="B656" s="588">
        <v>1</v>
      </c>
    </row>
    <row r="657" spans="1:2" x14ac:dyDescent="0.3">
      <c r="A657" s="701">
        <v>646</v>
      </c>
      <c r="B657" s="588">
        <v>1</v>
      </c>
    </row>
    <row r="658" spans="1:2" x14ac:dyDescent="0.3">
      <c r="A658" s="701">
        <v>647</v>
      </c>
      <c r="B658" s="588">
        <v>1</v>
      </c>
    </row>
    <row r="659" spans="1:2" x14ac:dyDescent="0.3">
      <c r="A659" s="701">
        <v>648</v>
      </c>
      <c r="B659" s="588">
        <v>1</v>
      </c>
    </row>
    <row r="660" spans="1:2" x14ac:dyDescent="0.3">
      <c r="A660" s="701">
        <v>649</v>
      </c>
      <c r="B660" s="588">
        <v>1</v>
      </c>
    </row>
    <row r="661" spans="1:2" x14ac:dyDescent="0.3">
      <c r="A661" s="701">
        <v>650</v>
      </c>
      <c r="B661" s="588">
        <v>1</v>
      </c>
    </row>
    <row r="662" spans="1:2" x14ac:dyDescent="0.3">
      <c r="A662" s="701">
        <v>651</v>
      </c>
      <c r="B662" s="588">
        <v>1</v>
      </c>
    </row>
    <row r="663" spans="1:2" x14ac:dyDescent="0.3">
      <c r="A663" s="701">
        <v>652</v>
      </c>
      <c r="B663" s="588">
        <v>1</v>
      </c>
    </row>
    <row r="664" spans="1:2" x14ac:dyDescent="0.3">
      <c r="A664" s="701">
        <v>653</v>
      </c>
      <c r="B664" s="588">
        <v>1</v>
      </c>
    </row>
    <row r="665" spans="1:2" x14ac:dyDescent="0.3">
      <c r="A665" s="701">
        <v>654</v>
      </c>
      <c r="B665" s="588">
        <v>1</v>
      </c>
    </row>
    <row r="666" spans="1:2" x14ac:dyDescent="0.3">
      <c r="A666" s="701">
        <v>655</v>
      </c>
      <c r="B666" s="588">
        <v>1</v>
      </c>
    </row>
    <row r="667" spans="1:2" x14ac:dyDescent="0.3">
      <c r="A667" s="701">
        <v>656</v>
      </c>
      <c r="B667" s="588">
        <v>1</v>
      </c>
    </row>
    <row r="668" spans="1:2" x14ac:dyDescent="0.3">
      <c r="A668" s="701">
        <v>657</v>
      </c>
      <c r="B668" s="588">
        <v>1</v>
      </c>
    </row>
    <row r="669" spans="1:2" x14ac:dyDescent="0.3">
      <c r="A669" s="701">
        <v>658</v>
      </c>
      <c r="B669" s="588">
        <v>1</v>
      </c>
    </row>
    <row r="670" spans="1:2" x14ac:dyDescent="0.3">
      <c r="A670" s="701">
        <v>659</v>
      </c>
      <c r="B670" s="588">
        <v>1</v>
      </c>
    </row>
    <row r="671" spans="1:2" x14ac:dyDescent="0.3">
      <c r="A671" s="701">
        <v>660</v>
      </c>
      <c r="B671" s="588">
        <v>1</v>
      </c>
    </row>
    <row r="672" spans="1:2" x14ac:dyDescent="0.3">
      <c r="A672" s="701">
        <v>661</v>
      </c>
      <c r="B672" s="588">
        <v>1</v>
      </c>
    </row>
    <row r="673" spans="1:2" x14ac:dyDescent="0.3">
      <c r="A673" s="701">
        <v>662</v>
      </c>
      <c r="B673" s="588">
        <v>1</v>
      </c>
    </row>
    <row r="674" spans="1:2" x14ac:dyDescent="0.3">
      <c r="A674" s="701">
        <v>663</v>
      </c>
      <c r="B674" s="588">
        <v>1</v>
      </c>
    </row>
    <row r="675" spans="1:2" x14ac:dyDescent="0.3">
      <c r="A675" s="701">
        <v>664</v>
      </c>
      <c r="B675" s="588">
        <v>1</v>
      </c>
    </row>
    <row r="676" spans="1:2" x14ac:dyDescent="0.3">
      <c r="A676" s="701">
        <v>665</v>
      </c>
      <c r="B676" s="588">
        <v>1</v>
      </c>
    </row>
    <row r="677" spans="1:2" x14ac:dyDescent="0.3">
      <c r="A677" s="701">
        <v>666</v>
      </c>
      <c r="B677" s="588">
        <v>1</v>
      </c>
    </row>
    <row r="678" spans="1:2" x14ac:dyDescent="0.3">
      <c r="A678" s="701">
        <v>667</v>
      </c>
      <c r="B678" s="588">
        <v>1</v>
      </c>
    </row>
    <row r="679" spans="1:2" x14ac:dyDescent="0.3">
      <c r="A679" s="701">
        <v>668</v>
      </c>
      <c r="B679" s="588">
        <v>1</v>
      </c>
    </row>
    <row r="680" spans="1:2" x14ac:dyDescent="0.3">
      <c r="A680" s="701">
        <v>669</v>
      </c>
      <c r="B680" s="588">
        <v>1</v>
      </c>
    </row>
    <row r="681" spans="1:2" x14ac:dyDescent="0.3">
      <c r="A681" s="701">
        <v>670</v>
      </c>
      <c r="B681" s="588">
        <v>1</v>
      </c>
    </row>
    <row r="682" spans="1:2" x14ac:dyDescent="0.3">
      <c r="A682" s="701">
        <v>671</v>
      </c>
      <c r="B682" s="588">
        <v>1</v>
      </c>
    </row>
    <row r="683" spans="1:2" x14ac:dyDescent="0.3">
      <c r="A683" s="701">
        <v>672</v>
      </c>
      <c r="B683" s="588">
        <v>1</v>
      </c>
    </row>
    <row r="684" spans="1:2" x14ac:dyDescent="0.3">
      <c r="A684" s="701">
        <v>673</v>
      </c>
      <c r="B684" s="588">
        <v>1</v>
      </c>
    </row>
    <row r="685" spans="1:2" x14ac:dyDescent="0.3">
      <c r="A685" s="701">
        <v>674</v>
      </c>
      <c r="B685" s="588">
        <v>1</v>
      </c>
    </row>
    <row r="686" spans="1:2" x14ac:dyDescent="0.3">
      <c r="A686" s="701">
        <v>675</v>
      </c>
      <c r="B686" s="588">
        <v>1</v>
      </c>
    </row>
    <row r="687" spans="1:2" x14ac:dyDescent="0.3">
      <c r="A687" s="701">
        <v>676</v>
      </c>
      <c r="B687" s="588">
        <v>1</v>
      </c>
    </row>
    <row r="688" spans="1:2" x14ac:dyDescent="0.3">
      <c r="A688" s="701">
        <v>677</v>
      </c>
      <c r="B688" s="588">
        <v>1</v>
      </c>
    </row>
    <row r="689" spans="1:2" x14ac:dyDescent="0.3">
      <c r="A689" s="701">
        <v>678</v>
      </c>
      <c r="B689" s="588">
        <v>1</v>
      </c>
    </row>
    <row r="690" spans="1:2" x14ac:dyDescent="0.3">
      <c r="A690" s="701">
        <v>679</v>
      </c>
      <c r="B690" s="588">
        <v>1</v>
      </c>
    </row>
    <row r="691" spans="1:2" x14ac:dyDescent="0.3">
      <c r="A691" s="701">
        <v>680</v>
      </c>
      <c r="B691" s="588">
        <v>1</v>
      </c>
    </row>
    <row r="692" spans="1:2" x14ac:dyDescent="0.3">
      <c r="A692" s="701">
        <v>681</v>
      </c>
      <c r="B692" s="588">
        <v>1</v>
      </c>
    </row>
    <row r="693" spans="1:2" x14ac:dyDescent="0.3">
      <c r="A693" s="701">
        <v>682</v>
      </c>
      <c r="B693" s="588">
        <v>1</v>
      </c>
    </row>
    <row r="694" spans="1:2" x14ac:dyDescent="0.3">
      <c r="A694" s="701">
        <v>683</v>
      </c>
      <c r="B694" s="588">
        <v>1</v>
      </c>
    </row>
    <row r="695" spans="1:2" x14ac:dyDescent="0.3">
      <c r="A695" s="701">
        <v>684</v>
      </c>
      <c r="B695" s="588">
        <v>1</v>
      </c>
    </row>
    <row r="696" spans="1:2" x14ac:dyDescent="0.3">
      <c r="A696" s="701">
        <v>685</v>
      </c>
      <c r="B696" s="588">
        <v>1</v>
      </c>
    </row>
    <row r="697" spans="1:2" x14ac:dyDescent="0.3">
      <c r="A697" s="701">
        <v>686</v>
      </c>
      <c r="B697" s="588">
        <v>1</v>
      </c>
    </row>
    <row r="698" spans="1:2" x14ac:dyDescent="0.3">
      <c r="A698" s="701">
        <v>687</v>
      </c>
      <c r="B698" s="588">
        <v>1</v>
      </c>
    </row>
    <row r="699" spans="1:2" x14ac:dyDescent="0.3">
      <c r="A699" s="701">
        <v>688</v>
      </c>
      <c r="B699" s="588">
        <v>1</v>
      </c>
    </row>
    <row r="700" spans="1:2" x14ac:dyDescent="0.3">
      <c r="A700" s="701">
        <v>689</v>
      </c>
      <c r="B700" s="588">
        <v>1</v>
      </c>
    </row>
    <row r="701" spans="1:2" x14ac:dyDescent="0.3">
      <c r="A701" s="701">
        <v>690</v>
      </c>
      <c r="B701" s="588">
        <v>1</v>
      </c>
    </row>
    <row r="702" spans="1:2" x14ac:dyDescent="0.3">
      <c r="A702" s="701">
        <v>691</v>
      </c>
      <c r="B702" s="588">
        <v>1</v>
      </c>
    </row>
    <row r="703" spans="1:2" x14ac:dyDescent="0.3">
      <c r="A703" s="701">
        <v>692</v>
      </c>
      <c r="B703" s="588">
        <v>1</v>
      </c>
    </row>
    <row r="704" spans="1:2" x14ac:dyDescent="0.3">
      <c r="A704" s="701">
        <v>693</v>
      </c>
      <c r="B704" s="588">
        <v>1</v>
      </c>
    </row>
    <row r="705" spans="1:3" x14ac:dyDescent="0.3">
      <c r="A705" s="701">
        <v>694</v>
      </c>
      <c r="B705" s="588">
        <v>1</v>
      </c>
    </row>
    <row r="706" spans="1:3" x14ac:dyDescent="0.3">
      <c r="A706" s="701">
        <v>695</v>
      </c>
      <c r="B706" s="588">
        <v>1</v>
      </c>
    </row>
    <row r="707" spans="1:3" x14ac:dyDescent="0.3">
      <c r="A707" s="701">
        <v>696</v>
      </c>
      <c r="B707" s="588">
        <v>1</v>
      </c>
    </row>
    <row r="708" spans="1:3" x14ac:dyDescent="0.3">
      <c r="A708" s="701">
        <v>697</v>
      </c>
      <c r="B708" s="588">
        <v>1</v>
      </c>
    </row>
    <row r="709" spans="1:3" x14ac:dyDescent="0.3">
      <c r="A709" s="701">
        <v>698</v>
      </c>
      <c r="B709" s="588">
        <v>1</v>
      </c>
    </row>
    <row r="710" spans="1:3" x14ac:dyDescent="0.3">
      <c r="A710" s="701">
        <v>699</v>
      </c>
      <c r="B710" s="588">
        <v>1</v>
      </c>
    </row>
    <row r="711" spans="1:3" x14ac:dyDescent="0.3">
      <c r="A711" s="701">
        <v>700</v>
      </c>
      <c r="B711" s="588">
        <v>1</v>
      </c>
    </row>
    <row r="712" spans="1:3" x14ac:dyDescent="0.3">
      <c r="C712" s="10"/>
    </row>
    <row r="713" spans="1:3" x14ac:dyDescent="0.3">
      <c r="C713" s="10"/>
    </row>
    <row r="714" spans="1:3" x14ac:dyDescent="0.3">
      <c r="C714" s="10"/>
    </row>
    <row r="715" spans="1:3" x14ac:dyDescent="0.3">
      <c r="C715" s="10"/>
    </row>
    <row r="716" spans="1:3" x14ac:dyDescent="0.3">
      <c r="C716" s="10"/>
    </row>
    <row r="717" spans="1:3" x14ac:dyDescent="0.3">
      <c r="C717" s="10"/>
    </row>
    <row r="718" spans="1:3" x14ac:dyDescent="0.3">
      <c r="C718" s="10"/>
    </row>
    <row r="719" spans="1:3" x14ac:dyDescent="0.3">
      <c r="C719" s="10"/>
    </row>
    <row r="720" spans="1:3" x14ac:dyDescent="0.3">
      <c r="C720" s="10"/>
    </row>
    <row r="721" spans="3:3" x14ac:dyDescent="0.3">
      <c r="C721" s="10"/>
    </row>
    <row r="722" spans="3:3" x14ac:dyDescent="0.3">
      <c r="C722" s="10"/>
    </row>
    <row r="723" spans="3:3" x14ac:dyDescent="0.3">
      <c r="C723" s="10"/>
    </row>
    <row r="724" spans="3:3" x14ac:dyDescent="0.3">
      <c r="C724" s="10"/>
    </row>
    <row r="725" spans="3:3" x14ac:dyDescent="0.3">
      <c r="C725" s="10"/>
    </row>
    <row r="726" spans="3:3" x14ac:dyDescent="0.3">
      <c r="C726" s="10"/>
    </row>
    <row r="727" spans="3:3" x14ac:dyDescent="0.3">
      <c r="C727" s="10"/>
    </row>
    <row r="728" spans="3:3" x14ac:dyDescent="0.3">
      <c r="C728" s="10"/>
    </row>
    <row r="729" spans="3:3" x14ac:dyDescent="0.3">
      <c r="C729" s="10"/>
    </row>
    <row r="730" spans="3:3" x14ac:dyDescent="0.3">
      <c r="C730" s="10"/>
    </row>
    <row r="731" spans="3:3" x14ac:dyDescent="0.3">
      <c r="C731" s="10"/>
    </row>
    <row r="732" spans="3:3" x14ac:dyDescent="0.3">
      <c r="C732" s="10"/>
    </row>
    <row r="733" spans="3:3" x14ac:dyDescent="0.3">
      <c r="C733" s="10"/>
    </row>
    <row r="734" spans="3:3" x14ac:dyDescent="0.3">
      <c r="C734" s="10"/>
    </row>
    <row r="735" spans="3:3" x14ac:dyDescent="0.3">
      <c r="C735" s="10"/>
    </row>
    <row r="736" spans="3:3" x14ac:dyDescent="0.3">
      <c r="C736" s="10"/>
    </row>
    <row r="737" spans="3:3" x14ac:dyDescent="0.3">
      <c r="C737" s="10"/>
    </row>
    <row r="738" spans="3:3" x14ac:dyDescent="0.3">
      <c r="C738" s="10"/>
    </row>
    <row r="739" spans="3:3" x14ac:dyDescent="0.3">
      <c r="C739" s="10"/>
    </row>
    <row r="740" spans="3:3" x14ac:dyDescent="0.3">
      <c r="C740" s="10"/>
    </row>
    <row r="741" spans="3:3" x14ac:dyDescent="0.3">
      <c r="C741" s="10"/>
    </row>
    <row r="742" spans="3:3" x14ac:dyDescent="0.3">
      <c r="C742" s="10"/>
    </row>
    <row r="743" spans="3:3" x14ac:dyDescent="0.3">
      <c r="C743" s="10"/>
    </row>
    <row r="744" spans="3:3" x14ac:dyDescent="0.3">
      <c r="C744" s="10"/>
    </row>
    <row r="745" spans="3:3" x14ac:dyDescent="0.3">
      <c r="C745" s="10"/>
    </row>
    <row r="746" spans="3:3" x14ac:dyDescent="0.3">
      <c r="C746" s="10"/>
    </row>
    <row r="747" spans="3:3" x14ac:dyDescent="0.3">
      <c r="C747" s="10"/>
    </row>
    <row r="748" spans="3:3" x14ac:dyDescent="0.3">
      <c r="C748" s="10"/>
    </row>
    <row r="749" spans="3:3" x14ac:dyDescent="0.3">
      <c r="C749" s="10"/>
    </row>
    <row r="750" spans="3:3" x14ac:dyDescent="0.3">
      <c r="C750" s="10"/>
    </row>
    <row r="751" spans="3:3" x14ac:dyDescent="0.3">
      <c r="C751" s="10"/>
    </row>
    <row r="752" spans="3:3" x14ac:dyDescent="0.3">
      <c r="C752" s="10"/>
    </row>
    <row r="753" spans="3:3" x14ac:dyDescent="0.3">
      <c r="C753" s="10"/>
    </row>
    <row r="754" spans="3:3" x14ac:dyDescent="0.3">
      <c r="C754" s="10"/>
    </row>
    <row r="755" spans="3:3" x14ac:dyDescent="0.3">
      <c r="C755" s="10"/>
    </row>
    <row r="756" spans="3:3" x14ac:dyDescent="0.3">
      <c r="C756" s="10"/>
    </row>
    <row r="757" spans="3:3" x14ac:dyDescent="0.3">
      <c r="C757" s="10"/>
    </row>
    <row r="758" spans="3:3" x14ac:dyDescent="0.3">
      <c r="C758" s="10"/>
    </row>
    <row r="759" spans="3:3" x14ac:dyDescent="0.3">
      <c r="C759" s="10"/>
    </row>
    <row r="760" spans="3:3" x14ac:dyDescent="0.3">
      <c r="C760" s="10"/>
    </row>
    <row r="761" spans="3:3" x14ac:dyDescent="0.3">
      <c r="C761" s="10"/>
    </row>
    <row r="762" spans="3:3" x14ac:dyDescent="0.3">
      <c r="C762" s="10"/>
    </row>
    <row r="763" spans="3:3" x14ac:dyDescent="0.3">
      <c r="C763" s="10"/>
    </row>
    <row r="764" spans="3:3" x14ac:dyDescent="0.3">
      <c r="C764" s="10"/>
    </row>
    <row r="765" spans="3:3" x14ac:dyDescent="0.3">
      <c r="C765" s="10"/>
    </row>
    <row r="766" spans="3:3" x14ac:dyDescent="0.3">
      <c r="C766" s="10"/>
    </row>
    <row r="767" spans="3:3" x14ac:dyDescent="0.3">
      <c r="C767" s="10"/>
    </row>
    <row r="768" spans="3:3" x14ac:dyDescent="0.3">
      <c r="C768" s="10"/>
    </row>
    <row r="769" spans="3:3" x14ac:dyDescent="0.3">
      <c r="C769" s="10"/>
    </row>
    <row r="770" spans="3:3" x14ac:dyDescent="0.3">
      <c r="C770" s="10"/>
    </row>
    <row r="771" spans="3:3" x14ac:dyDescent="0.3">
      <c r="C771" s="10"/>
    </row>
    <row r="772" spans="3:3" x14ac:dyDescent="0.3">
      <c r="C772" s="10"/>
    </row>
    <row r="773" spans="3:3" x14ac:dyDescent="0.3">
      <c r="C773" s="10"/>
    </row>
    <row r="774" spans="3:3" x14ac:dyDescent="0.3">
      <c r="C774" s="10"/>
    </row>
    <row r="775" spans="3:3" x14ac:dyDescent="0.3">
      <c r="C775" s="10"/>
    </row>
    <row r="776" spans="3:3" x14ac:dyDescent="0.3">
      <c r="C776" s="10"/>
    </row>
    <row r="777" spans="3:3" x14ac:dyDescent="0.3">
      <c r="C777" s="10"/>
    </row>
    <row r="778" spans="3:3" x14ac:dyDescent="0.3">
      <c r="C778" s="10"/>
    </row>
    <row r="779" spans="3:3" x14ac:dyDescent="0.3">
      <c r="C779" s="10"/>
    </row>
    <row r="780" spans="3:3" x14ac:dyDescent="0.3">
      <c r="C780" s="10"/>
    </row>
    <row r="781" spans="3:3" x14ac:dyDescent="0.3">
      <c r="C781" s="10"/>
    </row>
    <row r="782" spans="3:3" x14ac:dyDescent="0.3">
      <c r="C782" s="10"/>
    </row>
    <row r="783" spans="3:3" x14ac:dyDescent="0.3">
      <c r="C783" s="10"/>
    </row>
    <row r="784" spans="3:3" x14ac:dyDescent="0.3">
      <c r="C784" s="10"/>
    </row>
    <row r="785" spans="3:3" x14ac:dyDescent="0.3">
      <c r="C785" s="10"/>
    </row>
    <row r="786" spans="3:3" x14ac:dyDescent="0.3">
      <c r="C786" s="10"/>
    </row>
    <row r="787" spans="3:3" x14ac:dyDescent="0.3">
      <c r="C787" s="10"/>
    </row>
    <row r="788" spans="3:3" x14ac:dyDescent="0.3">
      <c r="C788" s="10"/>
    </row>
    <row r="789" spans="3:3" x14ac:dyDescent="0.3">
      <c r="C789" s="10"/>
    </row>
    <row r="790" spans="3:3" x14ac:dyDescent="0.3">
      <c r="C790" s="10"/>
    </row>
    <row r="791" spans="3:3" x14ac:dyDescent="0.3">
      <c r="C791" s="10"/>
    </row>
    <row r="792" spans="3:3" x14ac:dyDescent="0.3">
      <c r="C792" s="10"/>
    </row>
    <row r="793" spans="3:3" x14ac:dyDescent="0.3">
      <c r="C793" s="10"/>
    </row>
    <row r="794" spans="3:3" x14ac:dyDescent="0.3">
      <c r="C794" s="10"/>
    </row>
    <row r="795" spans="3:3" x14ac:dyDescent="0.3">
      <c r="C795" s="10"/>
    </row>
    <row r="796" spans="3:3" x14ac:dyDescent="0.3">
      <c r="C796" s="10"/>
    </row>
    <row r="797" spans="3:3" x14ac:dyDescent="0.3">
      <c r="C797" s="10"/>
    </row>
    <row r="798" spans="3:3" x14ac:dyDescent="0.3">
      <c r="C798" s="10"/>
    </row>
    <row r="799" spans="3:3" x14ac:dyDescent="0.3">
      <c r="C799" s="10"/>
    </row>
    <row r="800" spans="3:3" x14ac:dyDescent="0.3">
      <c r="C800" s="10"/>
    </row>
    <row r="801" spans="3:3" x14ac:dyDescent="0.3">
      <c r="C801" s="10"/>
    </row>
    <row r="802" spans="3:3" x14ac:dyDescent="0.3">
      <c r="C802" s="10"/>
    </row>
    <row r="803" spans="3:3" x14ac:dyDescent="0.3">
      <c r="C803" s="10"/>
    </row>
    <row r="804" spans="3:3" x14ac:dyDescent="0.3">
      <c r="C804" s="10"/>
    </row>
    <row r="805" spans="3:3" x14ac:dyDescent="0.3">
      <c r="C805" s="10"/>
    </row>
    <row r="806" spans="3:3" x14ac:dyDescent="0.3">
      <c r="C806" s="10"/>
    </row>
    <row r="807" spans="3:3" x14ac:dyDescent="0.3">
      <c r="C807" s="10"/>
    </row>
    <row r="808" spans="3:3" x14ac:dyDescent="0.3">
      <c r="C808" s="10"/>
    </row>
    <row r="809" spans="3:3" x14ac:dyDescent="0.3">
      <c r="C809" s="10"/>
    </row>
    <row r="810" spans="3:3" x14ac:dyDescent="0.3">
      <c r="C810" s="10"/>
    </row>
    <row r="811" spans="3:3" x14ac:dyDescent="0.3">
      <c r="C811" s="10"/>
    </row>
    <row r="812" spans="3:3" x14ac:dyDescent="0.3">
      <c r="C812" s="10"/>
    </row>
    <row r="813" spans="3:3" x14ac:dyDescent="0.3">
      <c r="C813" s="10"/>
    </row>
    <row r="814" spans="3:3" x14ac:dyDescent="0.3">
      <c r="C814" s="10"/>
    </row>
    <row r="815" spans="3:3" x14ac:dyDescent="0.3">
      <c r="C815" s="10"/>
    </row>
    <row r="816" spans="3:3" x14ac:dyDescent="0.3">
      <c r="C816" s="10"/>
    </row>
    <row r="817" spans="3:3" x14ac:dyDescent="0.3">
      <c r="C817" s="10"/>
    </row>
    <row r="818" spans="3:3" x14ac:dyDescent="0.3">
      <c r="C818" s="10"/>
    </row>
    <row r="819" spans="3:3" x14ac:dyDescent="0.3">
      <c r="C819" s="10"/>
    </row>
    <row r="820" spans="3:3" x14ac:dyDescent="0.3">
      <c r="C820" s="10"/>
    </row>
    <row r="821" spans="3:3" x14ac:dyDescent="0.3">
      <c r="C821" s="10"/>
    </row>
    <row r="822" spans="3:3" x14ac:dyDescent="0.3">
      <c r="C822" s="10"/>
    </row>
    <row r="823" spans="3:3" x14ac:dyDescent="0.3">
      <c r="C823" s="10"/>
    </row>
    <row r="824" spans="3:3" x14ac:dyDescent="0.3">
      <c r="C824" s="10"/>
    </row>
    <row r="825" spans="3:3" x14ac:dyDescent="0.3">
      <c r="C825" s="10"/>
    </row>
    <row r="826" spans="3:3" x14ac:dyDescent="0.3">
      <c r="C826" s="10"/>
    </row>
    <row r="827" spans="3:3" x14ac:dyDescent="0.3">
      <c r="C827" s="10"/>
    </row>
    <row r="828" spans="3:3" x14ac:dyDescent="0.3">
      <c r="C828" s="10"/>
    </row>
    <row r="829" spans="3:3" x14ac:dyDescent="0.3">
      <c r="C829" s="10"/>
    </row>
    <row r="830" spans="3:3" x14ac:dyDescent="0.3">
      <c r="C830" s="10"/>
    </row>
    <row r="831" spans="3:3" x14ac:dyDescent="0.3">
      <c r="C831" s="10"/>
    </row>
    <row r="832" spans="3:3" x14ac:dyDescent="0.3">
      <c r="C832" s="10"/>
    </row>
    <row r="833" spans="3:3" x14ac:dyDescent="0.3">
      <c r="C833" s="10"/>
    </row>
    <row r="834" spans="3:3" x14ac:dyDescent="0.3">
      <c r="C834" s="10"/>
    </row>
    <row r="835" spans="3:3" x14ac:dyDescent="0.3">
      <c r="C835" s="10"/>
    </row>
    <row r="836" spans="3:3" x14ac:dyDescent="0.3">
      <c r="C836" s="10"/>
    </row>
    <row r="837" spans="3:3" x14ac:dyDescent="0.3">
      <c r="C837" s="10"/>
    </row>
    <row r="838" spans="3:3" x14ac:dyDescent="0.3">
      <c r="C838" s="10"/>
    </row>
    <row r="839" spans="3:3" x14ac:dyDescent="0.3">
      <c r="C839" s="10"/>
    </row>
    <row r="840" spans="3:3" x14ac:dyDescent="0.3">
      <c r="C840" s="10"/>
    </row>
    <row r="841" spans="3:3" x14ac:dyDescent="0.3">
      <c r="C841" s="10"/>
    </row>
    <row r="842" spans="3:3" x14ac:dyDescent="0.3">
      <c r="C842" s="10"/>
    </row>
    <row r="843" spans="3:3" x14ac:dyDescent="0.3">
      <c r="C843" s="10"/>
    </row>
    <row r="844" spans="3:3" x14ac:dyDescent="0.3">
      <c r="C844" s="10"/>
    </row>
    <row r="845" spans="3:3" x14ac:dyDescent="0.3">
      <c r="C845" s="10"/>
    </row>
    <row r="846" spans="3:3" x14ac:dyDescent="0.3">
      <c r="C846" s="10"/>
    </row>
    <row r="847" spans="3:3" x14ac:dyDescent="0.3">
      <c r="C847" s="10"/>
    </row>
    <row r="848" spans="3:3" x14ac:dyDescent="0.3">
      <c r="C848" s="10"/>
    </row>
    <row r="849" spans="3:3" x14ac:dyDescent="0.3">
      <c r="C849" s="10"/>
    </row>
    <row r="850" spans="3:3" x14ac:dyDescent="0.3">
      <c r="C850" s="10"/>
    </row>
    <row r="851" spans="3:3" x14ac:dyDescent="0.3">
      <c r="C851" s="10"/>
    </row>
    <row r="852" spans="3:3" x14ac:dyDescent="0.3">
      <c r="C852" s="10"/>
    </row>
    <row r="853" spans="3:3" x14ac:dyDescent="0.3">
      <c r="C853" s="10"/>
    </row>
    <row r="854" spans="3:3" x14ac:dyDescent="0.3">
      <c r="C854" s="10"/>
    </row>
    <row r="855" spans="3:3" x14ac:dyDescent="0.3">
      <c r="C855" s="10"/>
    </row>
    <row r="856" spans="3:3" x14ac:dyDescent="0.3">
      <c r="C856" s="10"/>
    </row>
    <row r="857" spans="3:3" x14ac:dyDescent="0.3">
      <c r="C857" s="10"/>
    </row>
    <row r="858" spans="3:3" x14ac:dyDescent="0.3">
      <c r="C858" s="10"/>
    </row>
    <row r="859" spans="3:3" x14ac:dyDescent="0.3">
      <c r="C859" s="10"/>
    </row>
    <row r="860" spans="3:3" x14ac:dyDescent="0.3">
      <c r="C860" s="10"/>
    </row>
    <row r="861" spans="3:3" x14ac:dyDescent="0.3">
      <c r="C861" s="10"/>
    </row>
    <row r="862" spans="3:3" x14ac:dyDescent="0.3">
      <c r="C862" s="10"/>
    </row>
    <row r="863" spans="3:3" x14ac:dyDescent="0.3">
      <c r="C863" s="10"/>
    </row>
    <row r="864" spans="3:3" x14ac:dyDescent="0.3">
      <c r="C864" s="10"/>
    </row>
    <row r="865" spans="3:3" x14ac:dyDescent="0.3">
      <c r="C865" s="10"/>
    </row>
    <row r="866" spans="3:3" x14ac:dyDescent="0.3">
      <c r="C866" s="10"/>
    </row>
  </sheetData>
  <sheetProtection sheet="1" objects="1" scenarios="1"/>
  <mergeCells count="3">
    <mergeCell ref="H4:H5"/>
    <mergeCell ref="A9:B9"/>
    <mergeCell ref="G4:G5"/>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election activeCell="C1" sqref="C1"/>
    </sheetView>
  </sheetViews>
  <sheetFormatPr defaultColWidth="9.1796875" defaultRowHeight="13" x14ac:dyDescent="0.3"/>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3">
      <c r="A1" s="259" t="s">
        <v>134</v>
      </c>
      <c r="B1" s="259" t="s">
        <v>135</v>
      </c>
      <c r="C1" s="39"/>
      <c r="D1" s="259" t="s">
        <v>133</v>
      </c>
      <c r="E1" s="259" t="s">
        <v>133</v>
      </c>
      <c r="F1" s="39"/>
    </row>
    <row r="2" spans="1:6" ht="12.75" customHeight="1" x14ac:dyDescent="0.3">
      <c r="A2" s="50">
        <v>0</v>
      </c>
      <c r="B2" s="702">
        <v>1</v>
      </c>
      <c r="D2" s="927" t="s">
        <v>136</v>
      </c>
      <c r="E2" s="927" t="s">
        <v>136</v>
      </c>
    </row>
    <row r="3" spans="1:6" x14ac:dyDescent="0.3">
      <c r="A3" s="50">
        <v>1</v>
      </c>
      <c r="B3" s="702">
        <v>1</v>
      </c>
      <c r="D3" s="927"/>
      <c r="E3" s="927"/>
    </row>
    <row r="4" spans="1:6" x14ac:dyDescent="0.3">
      <c r="A4" s="50">
        <v>2</v>
      </c>
      <c r="B4" s="702">
        <v>1</v>
      </c>
      <c r="D4" s="927"/>
      <c r="E4" s="927"/>
    </row>
    <row r="5" spans="1:6" x14ac:dyDescent="0.3">
      <c r="A5" s="50">
        <v>3</v>
      </c>
      <c r="B5" s="702">
        <v>1</v>
      </c>
      <c r="D5" s="927"/>
      <c r="E5" s="927"/>
    </row>
    <row r="6" spans="1:6" x14ac:dyDescent="0.3">
      <c r="A6" s="50">
        <v>4</v>
      </c>
      <c r="B6" s="702">
        <v>1</v>
      </c>
      <c r="D6" s="50" t="s">
        <v>137</v>
      </c>
      <c r="E6" s="50" t="s">
        <v>138</v>
      </c>
    </row>
    <row r="7" spans="1:6" x14ac:dyDescent="0.3">
      <c r="A7" s="50">
        <v>5</v>
      </c>
      <c r="B7" s="702">
        <v>0.99</v>
      </c>
      <c r="D7" s="562" t="str">
        <f>Vision!K32</f>
        <v/>
      </c>
      <c r="E7" s="562" t="str">
        <f>Vision!AB32</f>
        <v/>
      </c>
    </row>
    <row r="8" spans="1:6" x14ac:dyDescent="0.3">
      <c r="A8" s="50">
        <v>6</v>
      </c>
      <c r="B8" s="702">
        <v>0.99</v>
      </c>
      <c r="D8" s="50" t="str">
        <f>IF(D7="","",ROUND(D7,0))</f>
        <v/>
      </c>
      <c r="E8" s="50" t="str">
        <f>IF(E7="","",ROUND(E7,0))</f>
        <v/>
      </c>
    </row>
    <row r="9" spans="1:6" x14ac:dyDescent="0.3">
      <c r="A9" s="50">
        <v>7</v>
      </c>
      <c r="B9" s="702">
        <v>0.99</v>
      </c>
      <c r="D9" s="702">
        <f>IF(D8&lt;&gt;"",VLOOKUP(D8,A2:B502,2),0)</f>
        <v>0</v>
      </c>
      <c r="E9" s="702">
        <f>IF(E8&lt;&gt;"",VLOOKUP(E8,A2:B502,2),0)</f>
        <v>0</v>
      </c>
    </row>
    <row r="10" spans="1:6" x14ac:dyDescent="0.3">
      <c r="A10" s="50">
        <v>8</v>
      </c>
      <c r="B10" s="702">
        <v>0.99</v>
      </c>
    </row>
    <row r="11" spans="1:6" x14ac:dyDescent="0.3">
      <c r="A11" s="50">
        <v>9</v>
      </c>
      <c r="B11" s="702">
        <v>0.99</v>
      </c>
    </row>
    <row r="12" spans="1:6" x14ac:dyDescent="0.3">
      <c r="A12" s="50">
        <v>10</v>
      </c>
      <c r="B12" s="702">
        <v>0.98</v>
      </c>
    </row>
    <row r="13" spans="1:6" x14ac:dyDescent="0.3">
      <c r="A13" s="50">
        <v>11</v>
      </c>
      <c r="B13" s="702">
        <v>0.98</v>
      </c>
    </row>
    <row r="14" spans="1:6" x14ac:dyDescent="0.3">
      <c r="A14" s="50">
        <v>12</v>
      </c>
      <c r="B14" s="702">
        <v>0.98</v>
      </c>
    </row>
    <row r="15" spans="1:6" x14ac:dyDescent="0.3">
      <c r="A15" s="50">
        <v>13</v>
      </c>
      <c r="B15" s="702">
        <v>0.98</v>
      </c>
    </row>
    <row r="16" spans="1:6" x14ac:dyDescent="0.3">
      <c r="A16" s="50">
        <v>14</v>
      </c>
      <c r="B16" s="702">
        <v>0.98</v>
      </c>
    </row>
    <row r="17" spans="1:2" x14ac:dyDescent="0.3">
      <c r="A17" s="50">
        <v>15</v>
      </c>
      <c r="B17" s="702">
        <v>0.97</v>
      </c>
    </row>
    <row r="18" spans="1:2" x14ac:dyDescent="0.3">
      <c r="A18" s="50">
        <v>16</v>
      </c>
      <c r="B18" s="702">
        <v>0.97</v>
      </c>
    </row>
    <row r="19" spans="1:2" x14ac:dyDescent="0.3">
      <c r="A19" s="50">
        <v>17</v>
      </c>
      <c r="B19" s="702">
        <v>0.97</v>
      </c>
    </row>
    <row r="20" spans="1:2" x14ac:dyDescent="0.3">
      <c r="A20" s="50">
        <v>18</v>
      </c>
      <c r="B20" s="702">
        <v>0.97</v>
      </c>
    </row>
    <row r="21" spans="1:2" x14ac:dyDescent="0.3">
      <c r="A21" s="50">
        <v>19</v>
      </c>
      <c r="B21" s="702">
        <v>0.97</v>
      </c>
    </row>
    <row r="22" spans="1:2" x14ac:dyDescent="0.3">
      <c r="A22" s="50">
        <v>20</v>
      </c>
      <c r="B22" s="702">
        <v>0.96</v>
      </c>
    </row>
    <row r="23" spans="1:2" x14ac:dyDescent="0.3">
      <c r="A23" s="50">
        <v>21</v>
      </c>
      <c r="B23" s="702">
        <v>0.96</v>
      </c>
    </row>
    <row r="24" spans="1:2" x14ac:dyDescent="0.3">
      <c r="A24" s="50">
        <v>22</v>
      </c>
      <c r="B24" s="702">
        <v>0.96</v>
      </c>
    </row>
    <row r="25" spans="1:2" x14ac:dyDescent="0.3">
      <c r="A25" s="50">
        <v>23</v>
      </c>
      <c r="B25" s="702">
        <v>0.96</v>
      </c>
    </row>
    <row r="26" spans="1:2" x14ac:dyDescent="0.3">
      <c r="A26" s="50">
        <v>24</v>
      </c>
      <c r="B26" s="702">
        <v>0.96</v>
      </c>
    </row>
    <row r="27" spans="1:2" x14ac:dyDescent="0.3">
      <c r="A27" s="50">
        <v>25</v>
      </c>
      <c r="B27" s="702">
        <v>0.95</v>
      </c>
    </row>
    <row r="28" spans="1:2" x14ac:dyDescent="0.3">
      <c r="A28" s="50">
        <v>26</v>
      </c>
      <c r="B28" s="702">
        <v>0.95</v>
      </c>
    </row>
    <row r="29" spans="1:2" x14ac:dyDescent="0.3">
      <c r="A29" s="50">
        <v>27</v>
      </c>
      <c r="B29" s="702">
        <v>0.95</v>
      </c>
    </row>
    <row r="30" spans="1:2" x14ac:dyDescent="0.3">
      <c r="A30" s="50">
        <v>28</v>
      </c>
      <c r="B30" s="702">
        <v>0.95</v>
      </c>
    </row>
    <row r="31" spans="1:2" x14ac:dyDescent="0.3">
      <c r="A31" s="50">
        <v>29</v>
      </c>
      <c r="B31" s="702">
        <v>0.95</v>
      </c>
    </row>
    <row r="32" spans="1:2" x14ac:dyDescent="0.3">
      <c r="A32" s="50">
        <v>30</v>
      </c>
      <c r="B32" s="702">
        <v>0.94</v>
      </c>
    </row>
    <row r="33" spans="1:2" x14ac:dyDescent="0.3">
      <c r="A33" s="50">
        <v>31</v>
      </c>
      <c r="B33" s="702">
        <v>0.94</v>
      </c>
    </row>
    <row r="34" spans="1:2" x14ac:dyDescent="0.3">
      <c r="A34" s="50">
        <v>32</v>
      </c>
      <c r="B34" s="702">
        <v>0.94</v>
      </c>
    </row>
    <row r="35" spans="1:2" x14ac:dyDescent="0.3">
      <c r="A35" s="50">
        <v>33</v>
      </c>
      <c r="B35" s="702">
        <v>0.94</v>
      </c>
    </row>
    <row r="36" spans="1:2" x14ac:dyDescent="0.3">
      <c r="A36" s="50">
        <v>34</v>
      </c>
      <c r="B36" s="702">
        <v>0.94</v>
      </c>
    </row>
    <row r="37" spans="1:2" x14ac:dyDescent="0.3">
      <c r="A37" s="50">
        <v>35</v>
      </c>
      <c r="B37" s="702">
        <v>0.93</v>
      </c>
    </row>
    <row r="38" spans="1:2" x14ac:dyDescent="0.3">
      <c r="A38" s="50">
        <v>36</v>
      </c>
      <c r="B38" s="702">
        <v>0.93</v>
      </c>
    </row>
    <row r="39" spans="1:2" x14ac:dyDescent="0.3">
      <c r="A39" s="50">
        <v>37</v>
      </c>
      <c r="B39" s="702">
        <v>0.93</v>
      </c>
    </row>
    <row r="40" spans="1:2" x14ac:dyDescent="0.3">
      <c r="A40" s="50">
        <v>38</v>
      </c>
      <c r="B40" s="702">
        <v>0.93</v>
      </c>
    </row>
    <row r="41" spans="1:2" x14ac:dyDescent="0.3">
      <c r="A41" s="50">
        <v>39</v>
      </c>
      <c r="B41" s="702">
        <v>0.93</v>
      </c>
    </row>
    <row r="42" spans="1:2" x14ac:dyDescent="0.3">
      <c r="A42" s="50">
        <v>40</v>
      </c>
      <c r="B42" s="702">
        <v>0.92</v>
      </c>
    </row>
    <row r="43" spans="1:2" x14ac:dyDescent="0.3">
      <c r="A43" s="50">
        <v>41</v>
      </c>
      <c r="B43" s="702">
        <v>0.92</v>
      </c>
    </row>
    <row r="44" spans="1:2" x14ac:dyDescent="0.3">
      <c r="A44" s="50">
        <v>42</v>
      </c>
      <c r="B44" s="702">
        <v>0.92</v>
      </c>
    </row>
    <row r="45" spans="1:2" x14ac:dyDescent="0.3">
      <c r="A45" s="50">
        <v>43</v>
      </c>
      <c r="B45" s="702">
        <v>0.92</v>
      </c>
    </row>
    <row r="46" spans="1:2" x14ac:dyDescent="0.3">
      <c r="A46" s="50">
        <v>44</v>
      </c>
      <c r="B46" s="702">
        <v>0.92</v>
      </c>
    </row>
    <row r="47" spans="1:2" x14ac:dyDescent="0.3">
      <c r="A47" s="50">
        <v>45</v>
      </c>
      <c r="B47" s="702">
        <v>0.91</v>
      </c>
    </row>
    <row r="48" spans="1:2" x14ac:dyDescent="0.3">
      <c r="A48" s="50">
        <v>46</v>
      </c>
      <c r="B48" s="702">
        <v>0.91</v>
      </c>
    </row>
    <row r="49" spans="1:2" x14ac:dyDescent="0.3">
      <c r="A49" s="50">
        <v>47</v>
      </c>
      <c r="B49" s="702">
        <v>0.91</v>
      </c>
    </row>
    <row r="50" spans="1:2" x14ac:dyDescent="0.3">
      <c r="A50" s="50">
        <v>48</v>
      </c>
      <c r="B50" s="702">
        <v>0.91</v>
      </c>
    </row>
    <row r="51" spans="1:2" x14ac:dyDescent="0.3">
      <c r="A51" s="50">
        <v>49</v>
      </c>
      <c r="B51" s="702">
        <v>0.91</v>
      </c>
    </row>
    <row r="52" spans="1:2" x14ac:dyDescent="0.3">
      <c r="A52" s="50">
        <v>50</v>
      </c>
      <c r="B52" s="702">
        <v>0.9</v>
      </c>
    </row>
    <row r="53" spans="1:2" x14ac:dyDescent="0.3">
      <c r="A53" s="50">
        <v>51</v>
      </c>
      <c r="B53" s="702">
        <v>0.9</v>
      </c>
    </row>
    <row r="54" spans="1:2" x14ac:dyDescent="0.3">
      <c r="A54" s="50">
        <v>52</v>
      </c>
      <c r="B54" s="702">
        <v>0.9</v>
      </c>
    </row>
    <row r="55" spans="1:2" x14ac:dyDescent="0.3">
      <c r="A55" s="50">
        <v>53</v>
      </c>
      <c r="B55" s="702">
        <v>0.9</v>
      </c>
    </row>
    <row r="56" spans="1:2" x14ac:dyDescent="0.3">
      <c r="A56" s="50">
        <v>54</v>
      </c>
      <c r="B56" s="702">
        <v>0.9</v>
      </c>
    </row>
    <row r="57" spans="1:2" x14ac:dyDescent="0.3">
      <c r="A57" s="50">
        <v>55</v>
      </c>
      <c r="B57" s="702">
        <v>0.89</v>
      </c>
    </row>
    <row r="58" spans="1:2" x14ac:dyDescent="0.3">
      <c r="A58" s="50">
        <v>56</v>
      </c>
      <c r="B58" s="702">
        <v>0.89</v>
      </c>
    </row>
    <row r="59" spans="1:2" x14ac:dyDescent="0.3">
      <c r="A59" s="50">
        <v>57</v>
      </c>
      <c r="B59" s="702">
        <v>0.89</v>
      </c>
    </row>
    <row r="60" spans="1:2" x14ac:dyDescent="0.3">
      <c r="A60" s="50">
        <v>58</v>
      </c>
      <c r="B60" s="702">
        <v>0.89</v>
      </c>
    </row>
    <row r="61" spans="1:2" x14ac:dyDescent="0.3">
      <c r="A61" s="50">
        <v>59</v>
      </c>
      <c r="B61" s="702">
        <v>0.89</v>
      </c>
    </row>
    <row r="62" spans="1:2" x14ac:dyDescent="0.3">
      <c r="A62" s="50">
        <v>60</v>
      </c>
      <c r="B62" s="702">
        <v>0.88</v>
      </c>
    </row>
    <row r="63" spans="1:2" x14ac:dyDescent="0.3">
      <c r="A63" s="50">
        <v>61</v>
      </c>
      <c r="B63" s="702">
        <v>0.88</v>
      </c>
    </row>
    <row r="64" spans="1:2" x14ac:dyDescent="0.3">
      <c r="A64" s="50">
        <v>62</v>
      </c>
      <c r="B64" s="702">
        <v>0.88</v>
      </c>
    </row>
    <row r="65" spans="1:2" x14ac:dyDescent="0.3">
      <c r="A65" s="50">
        <v>63</v>
      </c>
      <c r="B65" s="702">
        <v>0.88</v>
      </c>
    </row>
    <row r="66" spans="1:2" x14ac:dyDescent="0.3">
      <c r="A66" s="50">
        <v>64</v>
      </c>
      <c r="B66" s="702">
        <v>0.88</v>
      </c>
    </row>
    <row r="67" spans="1:2" x14ac:dyDescent="0.3">
      <c r="A67" s="50">
        <v>65</v>
      </c>
      <c r="B67" s="702">
        <v>0.87</v>
      </c>
    </row>
    <row r="68" spans="1:2" x14ac:dyDescent="0.3">
      <c r="A68" s="50">
        <v>66</v>
      </c>
      <c r="B68" s="702">
        <v>0.87</v>
      </c>
    </row>
    <row r="69" spans="1:2" x14ac:dyDescent="0.3">
      <c r="A69" s="50">
        <v>67</v>
      </c>
      <c r="B69" s="702">
        <v>0.87</v>
      </c>
    </row>
    <row r="70" spans="1:2" x14ac:dyDescent="0.3">
      <c r="A70" s="50">
        <v>68</v>
      </c>
      <c r="B70" s="702">
        <v>0.87</v>
      </c>
    </row>
    <row r="71" spans="1:2" x14ac:dyDescent="0.3">
      <c r="A71" s="50">
        <v>69</v>
      </c>
      <c r="B71" s="702">
        <v>0.87</v>
      </c>
    </row>
    <row r="72" spans="1:2" x14ac:dyDescent="0.3">
      <c r="A72" s="50">
        <v>70</v>
      </c>
      <c r="B72" s="702">
        <v>0.86</v>
      </c>
    </row>
    <row r="73" spans="1:2" x14ac:dyDescent="0.3">
      <c r="A73" s="50">
        <v>71</v>
      </c>
      <c r="B73" s="702">
        <v>0.86</v>
      </c>
    </row>
    <row r="74" spans="1:2" x14ac:dyDescent="0.3">
      <c r="A74" s="50">
        <v>72</v>
      </c>
      <c r="B74" s="702">
        <v>0.86</v>
      </c>
    </row>
    <row r="75" spans="1:2" x14ac:dyDescent="0.3">
      <c r="A75" s="50">
        <v>73</v>
      </c>
      <c r="B75" s="702">
        <v>0.86</v>
      </c>
    </row>
    <row r="76" spans="1:2" x14ac:dyDescent="0.3">
      <c r="A76" s="50">
        <v>74</v>
      </c>
      <c r="B76" s="702">
        <v>0.86</v>
      </c>
    </row>
    <row r="77" spans="1:2" x14ac:dyDescent="0.3">
      <c r="A77" s="50">
        <v>75</v>
      </c>
      <c r="B77" s="702">
        <v>0.85</v>
      </c>
    </row>
    <row r="78" spans="1:2" x14ac:dyDescent="0.3">
      <c r="A78" s="50">
        <v>76</v>
      </c>
      <c r="B78" s="702">
        <v>0.85</v>
      </c>
    </row>
    <row r="79" spans="1:2" x14ac:dyDescent="0.3">
      <c r="A79" s="50">
        <v>77</v>
      </c>
      <c r="B79" s="702">
        <v>0.85</v>
      </c>
    </row>
    <row r="80" spans="1:2" x14ac:dyDescent="0.3">
      <c r="A80" s="50">
        <v>78</v>
      </c>
      <c r="B80" s="702">
        <v>0.85</v>
      </c>
    </row>
    <row r="81" spans="1:2" x14ac:dyDescent="0.3">
      <c r="A81" s="50">
        <v>79</v>
      </c>
      <c r="B81" s="702">
        <v>0.85</v>
      </c>
    </row>
    <row r="82" spans="1:2" x14ac:dyDescent="0.3">
      <c r="A82" s="50">
        <v>80</v>
      </c>
      <c r="B82" s="702">
        <v>0.84</v>
      </c>
    </row>
    <row r="83" spans="1:2" x14ac:dyDescent="0.3">
      <c r="A83" s="50">
        <v>81</v>
      </c>
      <c r="B83" s="702">
        <v>0.84</v>
      </c>
    </row>
    <row r="84" spans="1:2" x14ac:dyDescent="0.3">
      <c r="A84" s="50">
        <v>82</v>
      </c>
      <c r="B84" s="702">
        <v>0.84</v>
      </c>
    </row>
    <row r="85" spans="1:2" x14ac:dyDescent="0.3">
      <c r="A85" s="50">
        <v>83</v>
      </c>
      <c r="B85" s="702">
        <v>0.84</v>
      </c>
    </row>
    <row r="86" spans="1:2" x14ac:dyDescent="0.3">
      <c r="A86" s="50">
        <v>84</v>
      </c>
      <c r="B86" s="702">
        <v>0.84</v>
      </c>
    </row>
    <row r="87" spans="1:2" x14ac:dyDescent="0.3">
      <c r="A87" s="50">
        <v>85</v>
      </c>
      <c r="B87" s="702">
        <v>0.83</v>
      </c>
    </row>
    <row r="88" spans="1:2" x14ac:dyDescent="0.3">
      <c r="A88" s="50">
        <v>86</v>
      </c>
      <c r="B88" s="702">
        <v>0.83</v>
      </c>
    </row>
    <row r="89" spans="1:2" x14ac:dyDescent="0.3">
      <c r="A89" s="50">
        <v>87</v>
      </c>
      <c r="B89" s="702">
        <v>0.83</v>
      </c>
    </row>
    <row r="90" spans="1:2" x14ac:dyDescent="0.3">
      <c r="A90" s="50">
        <v>88</v>
      </c>
      <c r="B90" s="702">
        <v>0.83</v>
      </c>
    </row>
    <row r="91" spans="1:2" x14ac:dyDescent="0.3">
      <c r="A91" s="50">
        <v>89</v>
      </c>
      <c r="B91" s="702">
        <v>0.83</v>
      </c>
    </row>
    <row r="92" spans="1:2" x14ac:dyDescent="0.3">
      <c r="A92" s="50">
        <v>90</v>
      </c>
      <c r="B92" s="702">
        <v>0.82</v>
      </c>
    </row>
    <row r="93" spans="1:2" x14ac:dyDescent="0.3">
      <c r="A93" s="50">
        <v>91</v>
      </c>
      <c r="B93" s="702">
        <v>0.82</v>
      </c>
    </row>
    <row r="94" spans="1:2" x14ac:dyDescent="0.3">
      <c r="A94" s="50">
        <v>92</v>
      </c>
      <c r="B94" s="702">
        <v>0.82</v>
      </c>
    </row>
    <row r="95" spans="1:2" x14ac:dyDescent="0.3">
      <c r="A95" s="50">
        <v>93</v>
      </c>
      <c r="B95" s="702">
        <v>0.82</v>
      </c>
    </row>
    <row r="96" spans="1:2" x14ac:dyDescent="0.3">
      <c r="A96" s="50">
        <v>94</v>
      </c>
      <c r="B96" s="702">
        <v>0.82</v>
      </c>
    </row>
    <row r="97" spans="1:2" x14ac:dyDescent="0.3">
      <c r="A97" s="50">
        <v>95</v>
      </c>
      <c r="B97" s="702">
        <v>0.81</v>
      </c>
    </row>
    <row r="98" spans="1:2" x14ac:dyDescent="0.3">
      <c r="A98" s="50">
        <v>96</v>
      </c>
      <c r="B98" s="702">
        <v>0.81</v>
      </c>
    </row>
    <row r="99" spans="1:2" x14ac:dyDescent="0.3">
      <c r="A99" s="50">
        <v>97</v>
      </c>
      <c r="B99" s="702">
        <v>0.81</v>
      </c>
    </row>
    <row r="100" spans="1:2" x14ac:dyDescent="0.3">
      <c r="A100" s="50">
        <v>98</v>
      </c>
      <c r="B100" s="702">
        <v>0.81</v>
      </c>
    </row>
    <row r="101" spans="1:2" x14ac:dyDescent="0.3">
      <c r="A101" s="50">
        <v>99</v>
      </c>
      <c r="B101" s="702">
        <v>0.81</v>
      </c>
    </row>
    <row r="102" spans="1:2" x14ac:dyDescent="0.3">
      <c r="A102" s="50">
        <v>100</v>
      </c>
      <c r="B102" s="702">
        <v>0.8</v>
      </c>
    </row>
    <row r="103" spans="1:2" x14ac:dyDescent="0.3">
      <c r="A103" s="50">
        <v>101</v>
      </c>
      <c r="B103" s="702">
        <v>0.8</v>
      </c>
    </row>
    <row r="104" spans="1:2" x14ac:dyDescent="0.3">
      <c r="A104" s="50">
        <v>102</v>
      </c>
      <c r="B104" s="702">
        <v>0.8</v>
      </c>
    </row>
    <row r="105" spans="1:2" x14ac:dyDescent="0.3">
      <c r="A105" s="50">
        <v>103</v>
      </c>
      <c r="B105" s="702">
        <v>0.8</v>
      </c>
    </row>
    <row r="106" spans="1:2" x14ac:dyDescent="0.3">
      <c r="A106" s="50">
        <v>104</v>
      </c>
      <c r="B106" s="702">
        <v>0.8</v>
      </c>
    </row>
    <row r="107" spans="1:2" x14ac:dyDescent="0.3">
      <c r="A107" s="50">
        <v>105</v>
      </c>
      <c r="B107" s="702">
        <v>0.79</v>
      </c>
    </row>
    <row r="108" spans="1:2" x14ac:dyDescent="0.3">
      <c r="A108" s="50">
        <v>106</v>
      </c>
      <c r="B108" s="702">
        <v>0.79</v>
      </c>
    </row>
    <row r="109" spans="1:2" x14ac:dyDescent="0.3">
      <c r="A109" s="50">
        <v>107</v>
      </c>
      <c r="B109" s="702">
        <v>0.79</v>
      </c>
    </row>
    <row r="110" spans="1:2" x14ac:dyDescent="0.3">
      <c r="A110" s="50">
        <v>108</v>
      </c>
      <c r="B110" s="702">
        <v>0.79</v>
      </c>
    </row>
    <row r="111" spans="1:2" x14ac:dyDescent="0.3">
      <c r="A111" s="50">
        <v>109</v>
      </c>
      <c r="B111" s="702">
        <v>0.79</v>
      </c>
    </row>
    <row r="112" spans="1:2" x14ac:dyDescent="0.3">
      <c r="A112" s="50">
        <v>110</v>
      </c>
      <c r="B112" s="702">
        <v>0.78</v>
      </c>
    </row>
    <row r="113" spans="1:2" x14ac:dyDescent="0.3">
      <c r="A113" s="50">
        <v>111</v>
      </c>
      <c r="B113" s="702">
        <v>0.78</v>
      </c>
    </row>
    <row r="114" spans="1:2" x14ac:dyDescent="0.3">
      <c r="A114" s="50">
        <v>112</v>
      </c>
      <c r="B114" s="702">
        <v>0.78</v>
      </c>
    </row>
    <row r="115" spans="1:2" x14ac:dyDescent="0.3">
      <c r="A115" s="50">
        <v>113</v>
      </c>
      <c r="B115" s="702">
        <v>0.78</v>
      </c>
    </row>
    <row r="116" spans="1:2" x14ac:dyDescent="0.3">
      <c r="A116" s="50">
        <v>114</v>
      </c>
      <c r="B116" s="702">
        <v>0.78</v>
      </c>
    </row>
    <row r="117" spans="1:2" x14ac:dyDescent="0.3">
      <c r="A117" s="50">
        <v>115</v>
      </c>
      <c r="B117" s="702">
        <v>0.77</v>
      </c>
    </row>
    <row r="118" spans="1:2" x14ac:dyDescent="0.3">
      <c r="A118" s="50">
        <v>116</v>
      </c>
      <c r="B118" s="702">
        <v>0.77</v>
      </c>
    </row>
    <row r="119" spans="1:2" x14ac:dyDescent="0.3">
      <c r="A119" s="50">
        <v>117</v>
      </c>
      <c r="B119" s="702">
        <v>0.77</v>
      </c>
    </row>
    <row r="120" spans="1:2" x14ac:dyDescent="0.3">
      <c r="A120" s="50">
        <v>118</v>
      </c>
      <c r="B120" s="702">
        <v>0.77</v>
      </c>
    </row>
    <row r="121" spans="1:2" x14ac:dyDescent="0.3">
      <c r="A121" s="50">
        <v>119</v>
      </c>
      <c r="B121" s="702">
        <v>0.77</v>
      </c>
    </row>
    <row r="122" spans="1:2" x14ac:dyDescent="0.3">
      <c r="A122" s="50">
        <v>120</v>
      </c>
      <c r="B122" s="702">
        <v>0.76</v>
      </c>
    </row>
    <row r="123" spans="1:2" x14ac:dyDescent="0.3">
      <c r="A123" s="50">
        <v>121</v>
      </c>
      <c r="B123" s="702">
        <v>0.76</v>
      </c>
    </row>
    <row r="124" spans="1:2" x14ac:dyDescent="0.3">
      <c r="A124" s="50">
        <v>122</v>
      </c>
      <c r="B124" s="702">
        <v>0.76</v>
      </c>
    </row>
    <row r="125" spans="1:2" x14ac:dyDescent="0.3">
      <c r="A125" s="50">
        <v>123</v>
      </c>
      <c r="B125" s="702">
        <v>0.76</v>
      </c>
    </row>
    <row r="126" spans="1:2" x14ac:dyDescent="0.3">
      <c r="A126" s="50">
        <v>124</v>
      </c>
      <c r="B126" s="702">
        <v>0.76</v>
      </c>
    </row>
    <row r="127" spans="1:2" x14ac:dyDescent="0.3">
      <c r="A127" s="50">
        <v>125</v>
      </c>
      <c r="B127" s="702">
        <v>0.75</v>
      </c>
    </row>
    <row r="128" spans="1:2" x14ac:dyDescent="0.3">
      <c r="A128" s="50">
        <v>126</v>
      </c>
      <c r="B128" s="702">
        <v>0.75</v>
      </c>
    </row>
    <row r="129" spans="1:2" x14ac:dyDescent="0.3">
      <c r="A129" s="50">
        <v>127</v>
      </c>
      <c r="B129" s="702">
        <v>0.75</v>
      </c>
    </row>
    <row r="130" spans="1:2" x14ac:dyDescent="0.3">
      <c r="A130" s="50">
        <v>128</v>
      </c>
      <c r="B130" s="702">
        <v>0.75</v>
      </c>
    </row>
    <row r="131" spans="1:2" x14ac:dyDescent="0.3">
      <c r="A131" s="50">
        <v>129</v>
      </c>
      <c r="B131" s="702">
        <v>0.75</v>
      </c>
    </row>
    <row r="132" spans="1:2" x14ac:dyDescent="0.3">
      <c r="A132" s="50">
        <v>130</v>
      </c>
      <c r="B132" s="702">
        <v>0.74</v>
      </c>
    </row>
    <row r="133" spans="1:2" x14ac:dyDescent="0.3">
      <c r="A133" s="50">
        <v>131</v>
      </c>
      <c r="B133" s="702">
        <v>0.74</v>
      </c>
    </row>
    <row r="134" spans="1:2" x14ac:dyDescent="0.3">
      <c r="A134" s="50">
        <v>132</v>
      </c>
      <c r="B134" s="702">
        <v>0.74</v>
      </c>
    </row>
    <row r="135" spans="1:2" x14ac:dyDescent="0.3">
      <c r="A135" s="50">
        <v>133</v>
      </c>
      <c r="B135" s="702">
        <v>0.74</v>
      </c>
    </row>
    <row r="136" spans="1:2" x14ac:dyDescent="0.3">
      <c r="A136" s="50">
        <v>134</v>
      </c>
      <c r="B136" s="702">
        <v>0.74</v>
      </c>
    </row>
    <row r="137" spans="1:2" x14ac:dyDescent="0.3">
      <c r="A137" s="50">
        <v>135</v>
      </c>
      <c r="B137" s="702">
        <v>0.73</v>
      </c>
    </row>
    <row r="138" spans="1:2" x14ac:dyDescent="0.3">
      <c r="A138" s="50">
        <v>136</v>
      </c>
      <c r="B138" s="702">
        <v>0.73</v>
      </c>
    </row>
    <row r="139" spans="1:2" x14ac:dyDescent="0.3">
      <c r="A139" s="50">
        <v>137</v>
      </c>
      <c r="B139" s="702">
        <v>0.73</v>
      </c>
    </row>
    <row r="140" spans="1:2" x14ac:dyDescent="0.3">
      <c r="A140" s="50">
        <v>138</v>
      </c>
      <c r="B140" s="702">
        <v>0.73</v>
      </c>
    </row>
    <row r="141" spans="1:2" x14ac:dyDescent="0.3">
      <c r="A141" s="50">
        <v>139</v>
      </c>
      <c r="B141" s="702">
        <v>0.73</v>
      </c>
    </row>
    <row r="142" spans="1:2" x14ac:dyDescent="0.3">
      <c r="A142" s="50">
        <v>140</v>
      </c>
      <c r="B142" s="702">
        <v>0.72</v>
      </c>
    </row>
    <row r="143" spans="1:2" x14ac:dyDescent="0.3">
      <c r="A143" s="50">
        <v>141</v>
      </c>
      <c r="B143" s="702">
        <v>0.72</v>
      </c>
    </row>
    <row r="144" spans="1:2" x14ac:dyDescent="0.3">
      <c r="A144" s="50">
        <v>142</v>
      </c>
      <c r="B144" s="702">
        <v>0.72</v>
      </c>
    </row>
    <row r="145" spans="1:2" x14ac:dyDescent="0.3">
      <c r="A145" s="50">
        <v>143</v>
      </c>
      <c r="B145" s="702">
        <v>0.72</v>
      </c>
    </row>
    <row r="146" spans="1:2" x14ac:dyDescent="0.3">
      <c r="A146" s="50">
        <v>144</v>
      </c>
      <c r="B146" s="702">
        <v>0.72</v>
      </c>
    </row>
    <row r="147" spans="1:2" x14ac:dyDescent="0.3">
      <c r="A147" s="50">
        <v>145</v>
      </c>
      <c r="B147" s="702">
        <v>0.71</v>
      </c>
    </row>
    <row r="148" spans="1:2" x14ac:dyDescent="0.3">
      <c r="A148" s="50">
        <v>146</v>
      </c>
      <c r="B148" s="702">
        <v>0.71</v>
      </c>
    </row>
    <row r="149" spans="1:2" x14ac:dyDescent="0.3">
      <c r="A149" s="50">
        <v>147</v>
      </c>
      <c r="B149" s="702">
        <v>0.71</v>
      </c>
    </row>
    <row r="150" spans="1:2" x14ac:dyDescent="0.3">
      <c r="A150" s="50">
        <v>148</v>
      </c>
      <c r="B150" s="702">
        <v>0.71</v>
      </c>
    </row>
    <row r="151" spans="1:2" x14ac:dyDescent="0.3">
      <c r="A151" s="50">
        <v>149</v>
      </c>
      <c r="B151" s="702">
        <v>0.71</v>
      </c>
    </row>
    <row r="152" spans="1:2" x14ac:dyDescent="0.3">
      <c r="A152" s="50">
        <v>150</v>
      </c>
      <c r="B152" s="702">
        <v>0.7</v>
      </c>
    </row>
    <row r="153" spans="1:2" x14ac:dyDescent="0.3">
      <c r="A153" s="50">
        <v>151</v>
      </c>
      <c r="B153" s="702">
        <v>0.7</v>
      </c>
    </row>
    <row r="154" spans="1:2" x14ac:dyDescent="0.3">
      <c r="A154" s="50">
        <v>152</v>
      </c>
      <c r="B154" s="702">
        <v>0.7</v>
      </c>
    </row>
    <row r="155" spans="1:2" x14ac:dyDescent="0.3">
      <c r="A155" s="50">
        <v>153</v>
      </c>
      <c r="B155" s="702">
        <v>0.7</v>
      </c>
    </row>
    <row r="156" spans="1:2" x14ac:dyDescent="0.3">
      <c r="A156" s="50">
        <v>154</v>
      </c>
      <c r="B156" s="702">
        <v>0.7</v>
      </c>
    </row>
    <row r="157" spans="1:2" x14ac:dyDescent="0.3">
      <c r="A157" s="50">
        <v>155</v>
      </c>
      <c r="B157" s="702">
        <v>0.69</v>
      </c>
    </row>
    <row r="158" spans="1:2" x14ac:dyDescent="0.3">
      <c r="A158" s="50">
        <v>156</v>
      </c>
      <c r="B158" s="702">
        <v>0.69</v>
      </c>
    </row>
    <row r="159" spans="1:2" x14ac:dyDescent="0.3">
      <c r="A159" s="50">
        <v>157</v>
      </c>
      <c r="B159" s="702">
        <v>0.69</v>
      </c>
    </row>
    <row r="160" spans="1:2" x14ac:dyDescent="0.3">
      <c r="A160" s="50">
        <v>158</v>
      </c>
      <c r="B160" s="702">
        <v>0.69</v>
      </c>
    </row>
    <row r="161" spans="1:2" x14ac:dyDescent="0.3">
      <c r="A161" s="50">
        <v>159</v>
      </c>
      <c r="B161" s="702">
        <v>0.69</v>
      </c>
    </row>
    <row r="162" spans="1:2" x14ac:dyDescent="0.3">
      <c r="A162" s="50">
        <v>160</v>
      </c>
      <c r="B162" s="702">
        <v>0.68</v>
      </c>
    </row>
    <row r="163" spans="1:2" x14ac:dyDescent="0.3">
      <c r="A163" s="50">
        <v>161</v>
      </c>
      <c r="B163" s="702">
        <v>0.68</v>
      </c>
    </row>
    <row r="164" spans="1:2" x14ac:dyDescent="0.3">
      <c r="A164" s="50">
        <v>162</v>
      </c>
      <c r="B164" s="702">
        <v>0.68</v>
      </c>
    </row>
    <row r="165" spans="1:2" x14ac:dyDescent="0.3">
      <c r="A165" s="50">
        <v>163</v>
      </c>
      <c r="B165" s="702">
        <v>0.68</v>
      </c>
    </row>
    <row r="166" spans="1:2" x14ac:dyDescent="0.3">
      <c r="A166" s="50">
        <v>164</v>
      </c>
      <c r="B166" s="702">
        <v>0.68</v>
      </c>
    </row>
    <row r="167" spans="1:2" x14ac:dyDescent="0.3">
      <c r="A167" s="50">
        <v>165</v>
      </c>
      <c r="B167" s="702">
        <v>0.67</v>
      </c>
    </row>
    <row r="168" spans="1:2" x14ac:dyDescent="0.3">
      <c r="A168" s="50">
        <v>166</v>
      </c>
      <c r="B168" s="702">
        <v>0.67</v>
      </c>
    </row>
    <row r="169" spans="1:2" x14ac:dyDescent="0.3">
      <c r="A169" s="50">
        <v>167</v>
      </c>
      <c r="B169" s="702">
        <v>0.67</v>
      </c>
    </row>
    <row r="170" spans="1:2" x14ac:dyDescent="0.3">
      <c r="A170" s="50">
        <v>168</v>
      </c>
      <c r="B170" s="702">
        <v>0.67</v>
      </c>
    </row>
    <row r="171" spans="1:2" x14ac:dyDescent="0.3">
      <c r="A171" s="50">
        <v>169</v>
      </c>
      <c r="B171" s="702">
        <v>0.67</v>
      </c>
    </row>
    <row r="172" spans="1:2" x14ac:dyDescent="0.3">
      <c r="A172" s="50">
        <v>170</v>
      </c>
      <c r="B172" s="702">
        <v>0.66</v>
      </c>
    </row>
    <row r="173" spans="1:2" x14ac:dyDescent="0.3">
      <c r="A173" s="50">
        <v>171</v>
      </c>
      <c r="B173" s="702">
        <v>0.66</v>
      </c>
    </row>
    <row r="174" spans="1:2" x14ac:dyDescent="0.3">
      <c r="A174" s="50">
        <v>172</v>
      </c>
      <c r="B174" s="702">
        <v>0.66</v>
      </c>
    </row>
    <row r="175" spans="1:2" x14ac:dyDescent="0.3">
      <c r="A175" s="50">
        <v>173</v>
      </c>
      <c r="B175" s="702">
        <v>0.66</v>
      </c>
    </row>
    <row r="176" spans="1:2" x14ac:dyDescent="0.3">
      <c r="A176" s="50">
        <v>174</v>
      </c>
      <c r="B176" s="702">
        <v>0.66</v>
      </c>
    </row>
    <row r="177" spans="1:2" x14ac:dyDescent="0.3">
      <c r="A177" s="50">
        <v>175</v>
      </c>
      <c r="B177" s="702">
        <v>0.65</v>
      </c>
    </row>
    <row r="178" spans="1:2" x14ac:dyDescent="0.3">
      <c r="A178" s="50">
        <v>176</v>
      </c>
      <c r="B178" s="702">
        <v>0.65</v>
      </c>
    </row>
    <row r="179" spans="1:2" x14ac:dyDescent="0.3">
      <c r="A179" s="50">
        <v>177</v>
      </c>
      <c r="B179" s="702">
        <v>0.65</v>
      </c>
    </row>
    <row r="180" spans="1:2" x14ac:dyDescent="0.3">
      <c r="A180" s="50">
        <v>178</v>
      </c>
      <c r="B180" s="702">
        <v>0.65</v>
      </c>
    </row>
    <row r="181" spans="1:2" x14ac:dyDescent="0.3">
      <c r="A181" s="50">
        <v>179</v>
      </c>
      <c r="B181" s="702">
        <v>0.65</v>
      </c>
    </row>
    <row r="182" spans="1:2" x14ac:dyDescent="0.3">
      <c r="A182" s="50">
        <v>180</v>
      </c>
      <c r="B182" s="702">
        <v>0.64</v>
      </c>
    </row>
    <row r="183" spans="1:2" x14ac:dyDescent="0.3">
      <c r="A183" s="50">
        <v>181</v>
      </c>
      <c r="B183" s="702">
        <v>0.64</v>
      </c>
    </row>
    <row r="184" spans="1:2" x14ac:dyDescent="0.3">
      <c r="A184" s="50">
        <v>182</v>
      </c>
      <c r="B184" s="702">
        <v>0.64</v>
      </c>
    </row>
    <row r="185" spans="1:2" x14ac:dyDescent="0.3">
      <c r="A185" s="50">
        <v>183</v>
      </c>
      <c r="B185" s="702">
        <v>0.64</v>
      </c>
    </row>
    <row r="186" spans="1:2" x14ac:dyDescent="0.3">
      <c r="A186" s="50">
        <v>184</v>
      </c>
      <c r="B186" s="702">
        <v>0.64</v>
      </c>
    </row>
    <row r="187" spans="1:2" x14ac:dyDescent="0.3">
      <c r="A187" s="50">
        <v>185</v>
      </c>
      <c r="B187" s="702">
        <v>0.63</v>
      </c>
    </row>
    <row r="188" spans="1:2" x14ac:dyDescent="0.3">
      <c r="A188" s="50">
        <v>186</v>
      </c>
      <c r="B188" s="702">
        <v>0.63</v>
      </c>
    </row>
    <row r="189" spans="1:2" x14ac:dyDescent="0.3">
      <c r="A189" s="50">
        <v>187</v>
      </c>
      <c r="B189" s="702">
        <v>0.63</v>
      </c>
    </row>
    <row r="190" spans="1:2" x14ac:dyDescent="0.3">
      <c r="A190" s="50">
        <v>188</v>
      </c>
      <c r="B190" s="702">
        <v>0.63</v>
      </c>
    </row>
    <row r="191" spans="1:2" x14ac:dyDescent="0.3">
      <c r="A191" s="50">
        <v>189</v>
      </c>
      <c r="B191" s="702">
        <v>0.63</v>
      </c>
    </row>
    <row r="192" spans="1:2" x14ac:dyDescent="0.3">
      <c r="A192" s="50">
        <v>190</v>
      </c>
      <c r="B192" s="702">
        <v>0.62</v>
      </c>
    </row>
    <row r="193" spans="1:2" x14ac:dyDescent="0.3">
      <c r="A193" s="50">
        <v>191</v>
      </c>
      <c r="B193" s="702">
        <v>0.62</v>
      </c>
    </row>
    <row r="194" spans="1:2" x14ac:dyDescent="0.3">
      <c r="A194" s="50">
        <v>192</v>
      </c>
      <c r="B194" s="702">
        <v>0.62</v>
      </c>
    </row>
    <row r="195" spans="1:2" x14ac:dyDescent="0.3">
      <c r="A195" s="50">
        <v>193</v>
      </c>
      <c r="B195" s="702">
        <v>0.62</v>
      </c>
    </row>
    <row r="196" spans="1:2" x14ac:dyDescent="0.3">
      <c r="A196" s="50">
        <v>194</v>
      </c>
      <c r="B196" s="702">
        <v>0.62</v>
      </c>
    </row>
    <row r="197" spans="1:2" x14ac:dyDescent="0.3">
      <c r="A197" s="50">
        <v>195</v>
      </c>
      <c r="B197" s="702">
        <v>0.61</v>
      </c>
    </row>
    <row r="198" spans="1:2" x14ac:dyDescent="0.3">
      <c r="A198" s="50">
        <v>196</v>
      </c>
      <c r="B198" s="702">
        <v>0.61</v>
      </c>
    </row>
    <row r="199" spans="1:2" x14ac:dyDescent="0.3">
      <c r="A199" s="50">
        <v>197</v>
      </c>
      <c r="B199" s="702">
        <v>0.61</v>
      </c>
    </row>
    <row r="200" spans="1:2" x14ac:dyDescent="0.3">
      <c r="A200" s="50">
        <v>198</v>
      </c>
      <c r="B200" s="702">
        <v>0.61</v>
      </c>
    </row>
    <row r="201" spans="1:2" x14ac:dyDescent="0.3">
      <c r="A201" s="50">
        <v>199</v>
      </c>
      <c r="B201" s="702">
        <v>0.61</v>
      </c>
    </row>
    <row r="202" spans="1:2" x14ac:dyDescent="0.3">
      <c r="A202" s="50">
        <v>200</v>
      </c>
      <c r="B202" s="702">
        <v>0.6</v>
      </c>
    </row>
    <row r="203" spans="1:2" x14ac:dyDescent="0.3">
      <c r="A203" s="50">
        <v>201</v>
      </c>
      <c r="B203" s="702">
        <v>0.6</v>
      </c>
    </row>
    <row r="204" spans="1:2" x14ac:dyDescent="0.3">
      <c r="A204" s="50">
        <v>202</v>
      </c>
      <c r="B204" s="702">
        <v>0.6</v>
      </c>
    </row>
    <row r="205" spans="1:2" x14ac:dyDescent="0.3">
      <c r="A205" s="50">
        <v>203</v>
      </c>
      <c r="B205" s="702">
        <v>0.6</v>
      </c>
    </row>
    <row r="206" spans="1:2" x14ac:dyDescent="0.3">
      <c r="A206" s="50">
        <v>204</v>
      </c>
      <c r="B206" s="702">
        <v>0.6</v>
      </c>
    </row>
    <row r="207" spans="1:2" x14ac:dyDescent="0.3">
      <c r="A207" s="50">
        <v>205</v>
      </c>
      <c r="B207" s="702">
        <v>0.59</v>
      </c>
    </row>
    <row r="208" spans="1:2" x14ac:dyDescent="0.3">
      <c r="A208" s="50">
        <v>206</v>
      </c>
      <c r="B208" s="702">
        <v>0.59</v>
      </c>
    </row>
    <row r="209" spans="1:2" x14ac:dyDescent="0.3">
      <c r="A209" s="50">
        <v>207</v>
      </c>
      <c r="B209" s="702">
        <v>0.59</v>
      </c>
    </row>
    <row r="210" spans="1:2" x14ac:dyDescent="0.3">
      <c r="A210" s="50">
        <v>208</v>
      </c>
      <c r="B210" s="702">
        <v>0.59</v>
      </c>
    </row>
    <row r="211" spans="1:2" x14ac:dyDescent="0.3">
      <c r="A211" s="50">
        <v>209</v>
      </c>
      <c r="B211" s="702">
        <v>0.59</v>
      </c>
    </row>
    <row r="212" spans="1:2" x14ac:dyDescent="0.3">
      <c r="A212" s="50">
        <v>210</v>
      </c>
      <c r="B212" s="702">
        <v>0.57999999999999996</v>
      </c>
    </row>
    <row r="213" spans="1:2" x14ac:dyDescent="0.3">
      <c r="A213" s="50">
        <v>211</v>
      </c>
      <c r="B213" s="702">
        <v>0.57999999999999996</v>
      </c>
    </row>
    <row r="214" spans="1:2" x14ac:dyDescent="0.3">
      <c r="A214" s="50">
        <v>212</v>
      </c>
      <c r="B214" s="702">
        <v>0.57999999999999996</v>
      </c>
    </row>
    <row r="215" spans="1:2" x14ac:dyDescent="0.3">
      <c r="A215" s="50">
        <v>213</v>
      </c>
      <c r="B215" s="702">
        <v>0.57999999999999996</v>
      </c>
    </row>
    <row r="216" spans="1:2" x14ac:dyDescent="0.3">
      <c r="A216" s="50">
        <v>214</v>
      </c>
      <c r="B216" s="702">
        <v>0.57999999999999996</v>
      </c>
    </row>
    <row r="217" spans="1:2" x14ac:dyDescent="0.3">
      <c r="A217" s="50">
        <v>215</v>
      </c>
      <c r="B217" s="702">
        <v>0.56999999999999995</v>
      </c>
    </row>
    <row r="218" spans="1:2" x14ac:dyDescent="0.3">
      <c r="A218" s="50">
        <v>216</v>
      </c>
      <c r="B218" s="702">
        <v>0.56999999999999995</v>
      </c>
    </row>
    <row r="219" spans="1:2" x14ac:dyDescent="0.3">
      <c r="A219" s="50">
        <v>217</v>
      </c>
      <c r="B219" s="702">
        <v>0.56999999999999995</v>
      </c>
    </row>
    <row r="220" spans="1:2" x14ac:dyDescent="0.3">
      <c r="A220" s="50">
        <v>218</v>
      </c>
      <c r="B220" s="702">
        <v>0.56999999999999995</v>
      </c>
    </row>
    <row r="221" spans="1:2" x14ac:dyDescent="0.3">
      <c r="A221" s="50">
        <v>219</v>
      </c>
      <c r="B221" s="702">
        <v>0.56999999999999995</v>
      </c>
    </row>
    <row r="222" spans="1:2" x14ac:dyDescent="0.3">
      <c r="A222" s="50">
        <v>220</v>
      </c>
      <c r="B222" s="702">
        <v>0.56000000000000005</v>
      </c>
    </row>
    <row r="223" spans="1:2" x14ac:dyDescent="0.3">
      <c r="A223" s="50">
        <v>221</v>
      </c>
      <c r="B223" s="702">
        <v>0.56000000000000005</v>
      </c>
    </row>
    <row r="224" spans="1:2" x14ac:dyDescent="0.3">
      <c r="A224" s="50">
        <v>222</v>
      </c>
      <c r="B224" s="702">
        <v>0.56000000000000005</v>
      </c>
    </row>
    <row r="225" spans="1:2" x14ac:dyDescent="0.3">
      <c r="A225" s="50">
        <v>223</v>
      </c>
      <c r="B225" s="702">
        <v>0.56000000000000005</v>
      </c>
    </row>
    <row r="226" spans="1:2" x14ac:dyDescent="0.3">
      <c r="A226" s="50">
        <v>224</v>
      </c>
      <c r="B226" s="702">
        <v>0.56000000000000005</v>
      </c>
    </row>
    <row r="227" spans="1:2" x14ac:dyDescent="0.3">
      <c r="A227" s="50">
        <v>225</v>
      </c>
      <c r="B227" s="702">
        <v>0.55000000000000004</v>
      </c>
    </row>
    <row r="228" spans="1:2" x14ac:dyDescent="0.3">
      <c r="A228" s="50">
        <v>226</v>
      </c>
      <c r="B228" s="702">
        <v>0.55000000000000004</v>
      </c>
    </row>
    <row r="229" spans="1:2" x14ac:dyDescent="0.3">
      <c r="A229" s="50">
        <v>227</v>
      </c>
      <c r="B229" s="702">
        <v>0.55000000000000004</v>
      </c>
    </row>
    <row r="230" spans="1:2" x14ac:dyDescent="0.3">
      <c r="A230" s="50">
        <v>228</v>
      </c>
      <c r="B230" s="702">
        <v>0.55000000000000004</v>
      </c>
    </row>
    <row r="231" spans="1:2" x14ac:dyDescent="0.3">
      <c r="A231" s="50">
        <v>229</v>
      </c>
      <c r="B231" s="702">
        <v>0.55000000000000004</v>
      </c>
    </row>
    <row r="232" spans="1:2" x14ac:dyDescent="0.3">
      <c r="A232" s="50">
        <v>230</v>
      </c>
      <c r="B232" s="702">
        <v>0.54</v>
      </c>
    </row>
    <row r="233" spans="1:2" x14ac:dyDescent="0.3">
      <c r="A233" s="50">
        <v>231</v>
      </c>
      <c r="B233" s="702">
        <v>0.54</v>
      </c>
    </row>
    <row r="234" spans="1:2" x14ac:dyDescent="0.3">
      <c r="A234" s="50">
        <v>232</v>
      </c>
      <c r="B234" s="702">
        <v>0.54</v>
      </c>
    </row>
    <row r="235" spans="1:2" x14ac:dyDescent="0.3">
      <c r="A235" s="50">
        <v>233</v>
      </c>
      <c r="B235" s="702">
        <v>0.54</v>
      </c>
    </row>
    <row r="236" spans="1:2" x14ac:dyDescent="0.3">
      <c r="A236" s="50">
        <v>234</v>
      </c>
      <c r="B236" s="702">
        <v>0.54</v>
      </c>
    </row>
    <row r="237" spans="1:2" x14ac:dyDescent="0.3">
      <c r="A237" s="50">
        <v>235</v>
      </c>
      <c r="B237" s="702">
        <v>0.53</v>
      </c>
    </row>
    <row r="238" spans="1:2" x14ac:dyDescent="0.3">
      <c r="A238" s="50">
        <v>236</v>
      </c>
      <c r="B238" s="702">
        <v>0.53</v>
      </c>
    </row>
    <row r="239" spans="1:2" x14ac:dyDescent="0.3">
      <c r="A239" s="50">
        <v>237</v>
      </c>
      <c r="B239" s="702">
        <v>0.53</v>
      </c>
    </row>
    <row r="240" spans="1:2" x14ac:dyDescent="0.3">
      <c r="A240" s="50">
        <v>238</v>
      </c>
      <c r="B240" s="702">
        <v>0.53</v>
      </c>
    </row>
    <row r="241" spans="1:2" x14ac:dyDescent="0.3">
      <c r="A241" s="50">
        <v>239</v>
      </c>
      <c r="B241" s="702">
        <v>0.53</v>
      </c>
    </row>
    <row r="242" spans="1:2" x14ac:dyDescent="0.3">
      <c r="A242" s="50">
        <v>240</v>
      </c>
      <c r="B242" s="702">
        <v>0.52</v>
      </c>
    </row>
    <row r="243" spans="1:2" x14ac:dyDescent="0.3">
      <c r="A243" s="50">
        <v>241</v>
      </c>
      <c r="B243" s="702">
        <v>0.52</v>
      </c>
    </row>
    <row r="244" spans="1:2" x14ac:dyDescent="0.3">
      <c r="A244" s="50">
        <v>242</v>
      </c>
      <c r="B244" s="702">
        <v>0.52</v>
      </c>
    </row>
    <row r="245" spans="1:2" x14ac:dyDescent="0.3">
      <c r="A245" s="50">
        <v>243</v>
      </c>
      <c r="B245" s="702">
        <v>0.52</v>
      </c>
    </row>
    <row r="246" spans="1:2" x14ac:dyDescent="0.3">
      <c r="A246" s="50">
        <v>244</v>
      </c>
      <c r="B246" s="702">
        <v>0.52</v>
      </c>
    </row>
    <row r="247" spans="1:2" x14ac:dyDescent="0.3">
      <c r="A247" s="50">
        <v>245</v>
      </c>
      <c r="B247" s="702">
        <v>0.51</v>
      </c>
    </row>
    <row r="248" spans="1:2" x14ac:dyDescent="0.3">
      <c r="A248" s="50">
        <v>246</v>
      </c>
      <c r="B248" s="702">
        <v>0.51</v>
      </c>
    </row>
    <row r="249" spans="1:2" x14ac:dyDescent="0.3">
      <c r="A249" s="50">
        <v>247</v>
      </c>
      <c r="B249" s="702">
        <v>0.51</v>
      </c>
    </row>
    <row r="250" spans="1:2" x14ac:dyDescent="0.3">
      <c r="A250" s="50">
        <v>248</v>
      </c>
      <c r="B250" s="702">
        <v>0.51</v>
      </c>
    </row>
    <row r="251" spans="1:2" x14ac:dyDescent="0.3">
      <c r="A251" s="50">
        <v>249</v>
      </c>
      <c r="B251" s="702">
        <v>0.51</v>
      </c>
    </row>
    <row r="252" spans="1:2" x14ac:dyDescent="0.3">
      <c r="A252" s="50">
        <v>250</v>
      </c>
      <c r="B252" s="702">
        <v>0.5</v>
      </c>
    </row>
    <row r="253" spans="1:2" x14ac:dyDescent="0.3">
      <c r="A253" s="50">
        <v>251</v>
      </c>
      <c r="B253" s="702">
        <v>0.5</v>
      </c>
    </row>
    <row r="254" spans="1:2" x14ac:dyDescent="0.3">
      <c r="A254" s="50">
        <v>252</v>
      </c>
      <c r="B254" s="702">
        <v>0.5</v>
      </c>
    </row>
    <row r="255" spans="1:2" x14ac:dyDescent="0.3">
      <c r="A255" s="50">
        <v>253</v>
      </c>
      <c r="B255" s="702">
        <v>0.5</v>
      </c>
    </row>
    <row r="256" spans="1:2" x14ac:dyDescent="0.3">
      <c r="A256" s="50">
        <v>254</v>
      </c>
      <c r="B256" s="702">
        <v>0.5</v>
      </c>
    </row>
    <row r="257" spans="1:2" x14ac:dyDescent="0.3">
      <c r="A257" s="50">
        <v>255</v>
      </c>
      <c r="B257" s="702">
        <v>0.49</v>
      </c>
    </row>
    <row r="258" spans="1:2" x14ac:dyDescent="0.3">
      <c r="A258" s="50">
        <v>256</v>
      </c>
      <c r="B258" s="702">
        <v>0.49</v>
      </c>
    </row>
    <row r="259" spans="1:2" x14ac:dyDescent="0.3">
      <c r="A259" s="50">
        <v>257</v>
      </c>
      <c r="B259" s="702">
        <v>0.49</v>
      </c>
    </row>
    <row r="260" spans="1:2" x14ac:dyDescent="0.3">
      <c r="A260" s="50">
        <v>258</v>
      </c>
      <c r="B260" s="702">
        <v>0.49</v>
      </c>
    </row>
    <row r="261" spans="1:2" x14ac:dyDescent="0.3">
      <c r="A261" s="50">
        <v>259</v>
      </c>
      <c r="B261" s="702">
        <v>0.49</v>
      </c>
    </row>
    <row r="262" spans="1:2" x14ac:dyDescent="0.3">
      <c r="A262" s="50">
        <v>260</v>
      </c>
      <c r="B262" s="702">
        <v>0.48</v>
      </c>
    </row>
    <row r="263" spans="1:2" x14ac:dyDescent="0.3">
      <c r="A263" s="50">
        <v>261</v>
      </c>
      <c r="B263" s="702">
        <v>0.48</v>
      </c>
    </row>
    <row r="264" spans="1:2" x14ac:dyDescent="0.3">
      <c r="A264" s="50">
        <v>262</v>
      </c>
      <c r="B264" s="702">
        <v>0.48</v>
      </c>
    </row>
    <row r="265" spans="1:2" x14ac:dyDescent="0.3">
      <c r="A265" s="50">
        <v>263</v>
      </c>
      <c r="B265" s="702">
        <v>0.48</v>
      </c>
    </row>
    <row r="266" spans="1:2" x14ac:dyDescent="0.3">
      <c r="A266" s="50">
        <v>264</v>
      </c>
      <c r="B266" s="702">
        <v>0.48</v>
      </c>
    </row>
    <row r="267" spans="1:2" x14ac:dyDescent="0.3">
      <c r="A267" s="50">
        <v>265</v>
      </c>
      <c r="B267" s="702">
        <v>0.47</v>
      </c>
    </row>
    <row r="268" spans="1:2" x14ac:dyDescent="0.3">
      <c r="A268" s="50">
        <v>266</v>
      </c>
      <c r="B268" s="702">
        <v>0.47</v>
      </c>
    </row>
    <row r="269" spans="1:2" x14ac:dyDescent="0.3">
      <c r="A269" s="50">
        <v>267</v>
      </c>
      <c r="B269" s="702">
        <v>0.47</v>
      </c>
    </row>
    <row r="270" spans="1:2" x14ac:dyDescent="0.3">
      <c r="A270" s="50">
        <v>268</v>
      </c>
      <c r="B270" s="702">
        <v>0.47</v>
      </c>
    </row>
    <row r="271" spans="1:2" x14ac:dyDescent="0.3">
      <c r="A271" s="50">
        <v>269</v>
      </c>
      <c r="B271" s="702">
        <v>0.47</v>
      </c>
    </row>
    <row r="272" spans="1:2" x14ac:dyDescent="0.3">
      <c r="A272" s="50">
        <v>270</v>
      </c>
      <c r="B272" s="702">
        <v>0.46</v>
      </c>
    </row>
    <row r="273" spans="1:2" x14ac:dyDescent="0.3">
      <c r="A273" s="50">
        <v>271</v>
      </c>
      <c r="B273" s="702">
        <v>0.46</v>
      </c>
    </row>
    <row r="274" spans="1:2" x14ac:dyDescent="0.3">
      <c r="A274" s="50">
        <v>272</v>
      </c>
      <c r="B274" s="702">
        <v>0.46</v>
      </c>
    </row>
    <row r="275" spans="1:2" x14ac:dyDescent="0.3">
      <c r="A275" s="50">
        <v>273</v>
      </c>
      <c r="B275" s="702">
        <v>0.46</v>
      </c>
    </row>
    <row r="276" spans="1:2" x14ac:dyDescent="0.3">
      <c r="A276" s="50">
        <v>274</v>
      </c>
      <c r="B276" s="702">
        <v>0.46</v>
      </c>
    </row>
    <row r="277" spans="1:2" x14ac:dyDescent="0.3">
      <c r="A277" s="50">
        <v>275</v>
      </c>
      <c r="B277" s="702">
        <v>0.45</v>
      </c>
    </row>
    <row r="278" spans="1:2" x14ac:dyDescent="0.3">
      <c r="A278" s="50">
        <v>276</v>
      </c>
      <c r="B278" s="702">
        <v>0.45</v>
      </c>
    </row>
    <row r="279" spans="1:2" x14ac:dyDescent="0.3">
      <c r="A279" s="50">
        <v>277</v>
      </c>
      <c r="B279" s="702">
        <v>0.45</v>
      </c>
    </row>
    <row r="280" spans="1:2" x14ac:dyDescent="0.3">
      <c r="A280" s="50">
        <v>278</v>
      </c>
      <c r="B280" s="702">
        <v>0.45</v>
      </c>
    </row>
    <row r="281" spans="1:2" x14ac:dyDescent="0.3">
      <c r="A281" s="50">
        <v>279</v>
      </c>
      <c r="B281" s="702">
        <v>0.45</v>
      </c>
    </row>
    <row r="282" spans="1:2" x14ac:dyDescent="0.3">
      <c r="A282" s="50">
        <v>280</v>
      </c>
      <c r="B282" s="702">
        <v>0.44</v>
      </c>
    </row>
    <row r="283" spans="1:2" x14ac:dyDescent="0.3">
      <c r="A283" s="50">
        <v>281</v>
      </c>
      <c r="B283" s="702">
        <v>0.44</v>
      </c>
    </row>
    <row r="284" spans="1:2" x14ac:dyDescent="0.3">
      <c r="A284" s="50">
        <v>282</v>
      </c>
      <c r="B284" s="702">
        <v>0.44</v>
      </c>
    </row>
    <row r="285" spans="1:2" x14ac:dyDescent="0.3">
      <c r="A285" s="50">
        <v>283</v>
      </c>
      <c r="B285" s="702">
        <v>0.44</v>
      </c>
    </row>
    <row r="286" spans="1:2" x14ac:dyDescent="0.3">
      <c r="A286" s="50">
        <v>284</v>
      </c>
      <c r="B286" s="702">
        <v>0.44</v>
      </c>
    </row>
    <row r="287" spans="1:2" x14ac:dyDescent="0.3">
      <c r="A287" s="50">
        <v>285</v>
      </c>
      <c r="B287" s="702">
        <v>0.43</v>
      </c>
    </row>
    <row r="288" spans="1:2" x14ac:dyDescent="0.3">
      <c r="A288" s="50">
        <v>286</v>
      </c>
      <c r="B288" s="702">
        <v>0.43</v>
      </c>
    </row>
    <row r="289" spans="1:2" x14ac:dyDescent="0.3">
      <c r="A289" s="50">
        <v>287</v>
      </c>
      <c r="B289" s="702">
        <v>0.43</v>
      </c>
    </row>
    <row r="290" spans="1:2" x14ac:dyDescent="0.3">
      <c r="A290" s="50">
        <v>288</v>
      </c>
      <c r="B290" s="702">
        <v>0.43</v>
      </c>
    </row>
    <row r="291" spans="1:2" x14ac:dyDescent="0.3">
      <c r="A291" s="50">
        <v>289</v>
      </c>
      <c r="B291" s="702">
        <v>0.43</v>
      </c>
    </row>
    <row r="292" spans="1:2" x14ac:dyDescent="0.3">
      <c r="A292" s="50">
        <v>290</v>
      </c>
      <c r="B292" s="702">
        <v>0.42</v>
      </c>
    </row>
    <row r="293" spans="1:2" x14ac:dyDescent="0.3">
      <c r="A293" s="50">
        <v>291</v>
      </c>
      <c r="B293" s="702">
        <v>0.42</v>
      </c>
    </row>
    <row r="294" spans="1:2" x14ac:dyDescent="0.3">
      <c r="A294" s="50">
        <v>292</v>
      </c>
      <c r="B294" s="702">
        <v>0.42</v>
      </c>
    </row>
    <row r="295" spans="1:2" x14ac:dyDescent="0.3">
      <c r="A295" s="50">
        <v>293</v>
      </c>
      <c r="B295" s="702">
        <v>0.42</v>
      </c>
    </row>
    <row r="296" spans="1:2" x14ac:dyDescent="0.3">
      <c r="A296" s="50">
        <v>294</v>
      </c>
      <c r="B296" s="702">
        <v>0.42</v>
      </c>
    </row>
    <row r="297" spans="1:2" x14ac:dyDescent="0.3">
      <c r="A297" s="50">
        <v>295</v>
      </c>
      <c r="B297" s="702">
        <v>0.41</v>
      </c>
    </row>
    <row r="298" spans="1:2" x14ac:dyDescent="0.3">
      <c r="A298" s="50">
        <v>296</v>
      </c>
      <c r="B298" s="702">
        <v>0.41</v>
      </c>
    </row>
    <row r="299" spans="1:2" x14ac:dyDescent="0.3">
      <c r="A299" s="50">
        <v>297</v>
      </c>
      <c r="B299" s="702">
        <v>0.41</v>
      </c>
    </row>
    <row r="300" spans="1:2" x14ac:dyDescent="0.3">
      <c r="A300" s="50">
        <v>298</v>
      </c>
      <c r="B300" s="702">
        <v>0.41</v>
      </c>
    </row>
    <row r="301" spans="1:2" x14ac:dyDescent="0.3">
      <c r="A301" s="50">
        <v>299</v>
      </c>
      <c r="B301" s="702">
        <v>0.41</v>
      </c>
    </row>
    <row r="302" spans="1:2" x14ac:dyDescent="0.3">
      <c r="A302" s="50">
        <v>300</v>
      </c>
      <c r="B302" s="702">
        <v>0.4</v>
      </c>
    </row>
    <row r="303" spans="1:2" x14ac:dyDescent="0.3">
      <c r="A303" s="50">
        <v>301</v>
      </c>
      <c r="B303" s="702">
        <v>0.4</v>
      </c>
    </row>
    <row r="304" spans="1:2" x14ac:dyDescent="0.3">
      <c r="A304" s="50">
        <v>302</v>
      </c>
      <c r="B304" s="702">
        <v>0.4</v>
      </c>
    </row>
    <row r="305" spans="1:2" x14ac:dyDescent="0.3">
      <c r="A305" s="50">
        <v>303</v>
      </c>
      <c r="B305" s="702">
        <v>0.4</v>
      </c>
    </row>
    <row r="306" spans="1:2" x14ac:dyDescent="0.3">
      <c r="A306" s="50">
        <v>304</v>
      </c>
      <c r="B306" s="702">
        <v>0.4</v>
      </c>
    </row>
    <row r="307" spans="1:2" x14ac:dyDescent="0.3">
      <c r="A307" s="50">
        <v>305</v>
      </c>
      <c r="B307" s="702">
        <v>0.39</v>
      </c>
    </row>
    <row r="308" spans="1:2" x14ac:dyDescent="0.3">
      <c r="A308" s="50">
        <v>306</v>
      </c>
      <c r="B308" s="702">
        <v>0.39</v>
      </c>
    </row>
    <row r="309" spans="1:2" x14ac:dyDescent="0.3">
      <c r="A309" s="50">
        <v>307</v>
      </c>
      <c r="B309" s="702">
        <v>0.39</v>
      </c>
    </row>
    <row r="310" spans="1:2" x14ac:dyDescent="0.3">
      <c r="A310" s="50">
        <v>308</v>
      </c>
      <c r="B310" s="702">
        <v>0.39</v>
      </c>
    </row>
    <row r="311" spans="1:2" x14ac:dyDescent="0.3">
      <c r="A311" s="50">
        <v>309</v>
      </c>
      <c r="B311" s="702">
        <v>0.39</v>
      </c>
    </row>
    <row r="312" spans="1:2" x14ac:dyDescent="0.3">
      <c r="A312" s="50">
        <v>310</v>
      </c>
      <c r="B312" s="702">
        <v>0.38</v>
      </c>
    </row>
    <row r="313" spans="1:2" x14ac:dyDescent="0.3">
      <c r="A313" s="50">
        <v>311</v>
      </c>
      <c r="B313" s="702">
        <v>0.38</v>
      </c>
    </row>
    <row r="314" spans="1:2" x14ac:dyDescent="0.3">
      <c r="A314" s="50">
        <v>312</v>
      </c>
      <c r="B314" s="702">
        <v>0.38</v>
      </c>
    </row>
    <row r="315" spans="1:2" x14ac:dyDescent="0.3">
      <c r="A315" s="50">
        <v>313</v>
      </c>
      <c r="B315" s="702">
        <v>0.38</v>
      </c>
    </row>
    <row r="316" spans="1:2" x14ac:dyDescent="0.3">
      <c r="A316" s="50">
        <v>314</v>
      </c>
      <c r="B316" s="702">
        <v>0.38</v>
      </c>
    </row>
    <row r="317" spans="1:2" x14ac:dyDescent="0.3">
      <c r="A317" s="50">
        <v>315</v>
      </c>
      <c r="B317" s="702">
        <v>0.37</v>
      </c>
    </row>
    <row r="318" spans="1:2" x14ac:dyDescent="0.3">
      <c r="A318" s="50">
        <v>316</v>
      </c>
      <c r="B318" s="702">
        <v>0.37</v>
      </c>
    </row>
    <row r="319" spans="1:2" x14ac:dyDescent="0.3">
      <c r="A319" s="50">
        <v>317</v>
      </c>
      <c r="B319" s="702">
        <v>0.37</v>
      </c>
    </row>
    <row r="320" spans="1:2" x14ac:dyDescent="0.3">
      <c r="A320" s="50">
        <v>318</v>
      </c>
      <c r="B320" s="702">
        <v>0.37</v>
      </c>
    </row>
    <row r="321" spans="1:2" x14ac:dyDescent="0.3">
      <c r="A321" s="50">
        <v>319</v>
      </c>
      <c r="B321" s="702">
        <v>0.37</v>
      </c>
    </row>
    <row r="322" spans="1:2" x14ac:dyDescent="0.3">
      <c r="A322" s="50">
        <v>320</v>
      </c>
      <c r="B322" s="702">
        <v>0.36</v>
      </c>
    </row>
    <row r="323" spans="1:2" x14ac:dyDescent="0.3">
      <c r="A323" s="50">
        <v>321</v>
      </c>
      <c r="B323" s="702">
        <v>0.36</v>
      </c>
    </row>
    <row r="324" spans="1:2" x14ac:dyDescent="0.3">
      <c r="A324" s="50">
        <v>322</v>
      </c>
      <c r="B324" s="702">
        <v>0.36</v>
      </c>
    </row>
    <row r="325" spans="1:2" x14ac:dyDescent="0.3">
      <c r="A325" s="50">
        <v>323</v>
      </c>
      <c r="B325" s="702">
        <v>0.36</v>
      </c>
    </row>
    <row r="326" spans="1:2" x14ac:dyDescent="0.3">
      <c r="A326" s="50">
        <v>324</v>
      </c>
      <c r="B326" s="702">
        <v>0.36</v>
      </c>
    </row>
    <row r="327" spans="1:2" x14ac:dyDescent="0.3">
      <c r="A327" s="50">
        <v>325</v>
      </c>
      <c r="B327" s="702">
        <v>0.35</v>
      </c>
    </row>
    <row r="328" spans="1:2" x14ac:dyDescent="0.3">
      <c r="A328" s="50">
        <v>326</v>
      </c>
      <c r="B328" s="702">
        <v>0.35</v>
      </c>
    </row>
    <row r="329" spans="1:2" x14ac:dyDescent="0.3">
      <c r="A329" s="50">
        <v>327</v>
      </c>
      <c r="B329" s="702">
        <v>0.35</v>
      </c>
    </row>
    <row r="330" spans="1:2" x14ac:dyDescent="0.3">
      <c r="A330" s="50">
        <v>328</v>
      </c>
      <c r="B330" s="702">
        <v>0.35</v>
      </c>
    </row>
    <row r="331" spans="1:2" x14ac:dyDescent="0.3">
      <c r="A331" s="50">
        <v>329</v>
      </c>
      <c r="B331" s="702">
        <v>0.35</v>
      </c>
    </row>
    <row r="332" spans="1:2" x14ac:dyDescent="0.3">
      <c r="A332" s="50">
        <v>330</v>
      </c>
      <c r="B332" s="702">
        <v>0.34</v>
      </c>
    </row>
    <row r="333" spans="1:2" x14ac:dyDescent="0.3">
      <c r="A333" s="50">
        <v>331</v>
      </c>
      <c r="B333" s="702">
        <v>0.34</v>
      </c>
    </row>
    <row r="334" spans="1:2" x14ac:dyDescent="0.3">
      <c r="A334" s="50">
        <v>332</v>
      </c>
      <c r="B334" s="702">
        <v>0.34</v>
      </c>
    </row>
    <row r="335" spans="1:2" x14ac:dyDescent="0.3">
      <c r="A335" s="50">
        <v>333</v>
      </c>
      <c r="B335" s="702">
        <v>0.34</v>
      </c>
    </row>
    <row r="336" spans="1:2" x14ac:dyDescent="0.3">
      <c r="A336" s="50">
        <v>334</v>
      </c>
      <c r="B336" s="702">
        <v>0.34</v>
      </c>
    </row>
    <row r="337" spans="1:2" x14ac:dyDescent="0.3">
      <c r="A337" s="50">
        <v>335</v>
      </c>
      <c r="B337" s="702">
        <v>0.33</v>
      </c>
    </row>
    <row r="338" spans="1:2" x14ac:dyDescent="0.3">
      <c r="A338" s="50">
        <v>336</v>
      </c>
      <c r="B338" s="702">
        <v>0.33</v>
      </c>
    </row>
    <row r="339" spans="1:2" x14ac:dyDescent="0.3">
      <c r="A339" s="50">
        <v>337</v>
      </c>
      <c r="B339" s="702">
        <v>0.33</v>
      </c>
    </row>
    <row r="340" spans="1:2" x14ac:dyDescent="0.3">
      <c r="A340" s="50">
        <v>338</v>
      </c>
      <c r="B340" s="702">
        <v>0.33</v>
      </c>
    </row>
    <row r="341" spans="1:2" x14ac:dyDescent="0.3">
      <c r="A341" s="50">
        <v>339</v>
      </c>
      <c r="B341" s="702">
        <v>0.33</v>
      </c>
    </row>
    <row r="342" spans="1:2" x14ac:dyDescent="0.3">
      <c r="A342" s="50">
        <v>340</v>
      </c>
      <c r="B342" s="702">
        <v>0.32</v>
      </c>
    </row>
    <row r="343" spans="1:2" x14ac:dyDescent="0.3">
      <c r="A343" s="50">
        <v>341</v>
      </c>
      <c r="B343" s="702">
        <v>0.32</v>
      </c>
    </row>
    <row r="344" spans="1:2" x14ac:dyDescent="0.3">
      <c r="A344" s="50">
        <v>342</v>
      </c>
      <c r="B344" s="702">
        <v>0.32</v>
      </c>
    </row>
    <row r="345" spans="1:2" x14ac:dyDescent="0.3">
      <c r="A345" s="50">
        <v>343</v>
      </c>
      <c r="B345" s="702">
        <v>0.32</v>
      </c>
    </row>
    <row r="346" spans="1:2" x14ac:dyDescent="0.3">
      <c r="A346" s="50">
        <v>344</v>
      </c>
      <c r="B346" s="702">
        <v>0.32</v>
      </c>
    </row>
    <row r="347" spans="1:2" x14ac:dyDescent="0.3">
      <c r="A347" s="50">
        <v>345</v>
      </c>
      <c r="B347" s="702">
        <v>0.31</v>
      </c>
    </row>
    <row r="348" spans="1:2" x14ac:dyDescent="0.3">
      <c r="A348" s="50">
        <v>346</v>
      </c>
      <c r="B348" s="702">
        <v>0.31</v>
      </c>
    </row>
    <row r="349" spans="1:2" x14ac:dyDescent="0.3">
      <c r="A349" s="50">
        <v>347</v>
      </c>
      <c r="B349" s="702">
        <v>0.31</v>
      </c>
    </row>
    <row r="350" spans="1:2" x14ac:dyDescent="0.3">
      <c r="A350" s="50">
        <v>348</v>
      </c>
      <c r="B350" s="702">
        <v>0.31</v>
      </c>
    </row>
    <row r="351" spans="1:2" x14ac:dyDescent="0.3">
      <c r="A351" s="50">
        <v>349</v>
      </c>
      <c r="B351" s="702">
        <v>0.31</v>
      </c>
    </row>
    <row r="352" spans="1:2" x14ac:dyDescent="0.3">
      <c r="A352" s="50">
        <v>350</v>
      </c>
      <c r="B352" s="702">
        <v>0.3</v>
      </c>
    </row>
    <row r="353" spans="1:2" x14ac:dyDescent="0.3">
      <c r="A353" s="50">
        <v>351</v>
      </c>
      <c r="B353" s="702">
        <v>0.3</v>
      </c>
    </row>
    <row r="354" spans="1:2" x14ac:dyDescent="0.3">
      <c r="A354" s="50">
        <v>352</v>
      </c>
      <c r="B354" s="702">
        <v>0.3</v>
      </c>
    </row>
    <row r="355" spans="1:2" x14ac:dyDescent="0.3">
      <c r="A355" s="50">
        <v>353</v>
      </c>
      <c r="B355" s="702">
        <v>0.3</v>
      </c>
    </row>
    <row r="356" spans="1:2" x14ac:dyDescent="0.3">
      <c r="A356" s="50">
        <v>354</v>
      </c>
      <c r="B356" s="702">
        <v>0.3</v>
      </c>
    </row>
    <row r="357" spans="1:2" x14ac:dyDescent="0.3">
      <c r="A357" s="50">
        <v>355</v>
      </c>
      <c r="B357" s="702">
        <v>0.28999999999999998</v>
      </c>
    </row>
    <row r="358" spans="1:2" x14ac:dyDescent="0.3">
      <c r="A358" s="50">
        <v>356</v>
      </c>
      <c r="B358" s="702">
        <v>0.28999999999999998</v>
      </c>
    </row>
    <row r="359" spans="1:2" x14ac:dyDescent="0.3">
      <c r="A359" s="50">
        <v>357</v>
      </c>
      <c r="B359" s="702">
        <v>0.28999999999999998</v>
      </c>
    </row>
    <row r="360" spans="1:2" x14ac:dyDescent="0.3">
      <c r="A360" s="50">
        <v>358</v>
      </c>
      <c r="B360" s="702">
        <v>0.28999999999999998</v>
      </c>
    </row>
    <row r="361" spans="1:2" x14ac:dyDescent="0.3">
      <c r="A361" s="50">
        <v>359</v>
      </c>
      <c r="B361" s="702">
        <v>0.28999999999999998</v>
      </c>
    </row>
    <row r="362" spans="1:2" x14ac:dyDescent="0.3">
      <c r="A362" s="50">
        <v>360</v>
      </c>
      <c r="B362" s="702">
        <v>0.28000000000000003</v>
      </c>
    </row>
    <row r="363" spans="1:2" x14ac:dyDescent="0.3">
      <c r="A363" s="50">
        <v>361</v>
      </c>
      <c r="B363" s="702">
        <v>0.28000000000000003</v>
      </c>
    </row>
    <row r="364" spans="1:2" x14ac:dyDescent="0.3">
      <c r="A364" s="50">
        <v>362</v>
      </c>
      <c r="B364" s="702">
        <v>0.28000000000000003</v>
      </c>
    </row>
    <row r="365" spans="1:2" x14ac:dyDescent="0.3">
      <c r="A365" s="50">
        <v>363</v>
      </c>
      <c r="B365" s="702">
        <v>0.28000000000000003</v>
      </c>
    </row>
    <row r="366" spans="1:2" x14ac:dyDescent="0.3">
      <c r="A366" s="50">
        <v>364</v>
      </c>
      <c r="B366" s="702">
        <v>0.28000000000000003</v>
      </c>
    </row>
    <row r="367" spans="1:2" x14ac:dyDescent="0.3">
      <c r="A367" s="50">
        <v>365</v>
      </c>
      <c r="B367" s="702">
        <v>0.27</v>
      </c>
    </row>
    <row r="368" spans="1:2" x14ac:dyDescent="0.3">
      <c r="A368" s="50">
        <v>366</v>
      </c>
      <c r="B368" s="702">
        <v>0.27</v>
      </c>
    </row>
    <row r="369" spans="1:2" x14ac:dyDescent="0.3">
      <c r="A369" s="50">
        <v>367</v>
      </c>
      <c r="B369" s="702">
        <v>0.27</v>
      </c>
    </row>
    <row r="370" spans="1:2" x14ac:dyDescent="0.3">
      <c r="A370" s="50">
        <v>368</v>
      </c>
      <c r="B370" s="702">
        <v>0.27</v>
      </c>
    </row>
    <row r="371" spans="1:2" x14ac:dyDescent="0.3">
      <c r="A371" s="50">
        <v>369</v>
      </c>
      <c r="B371" s="702">
        <v>0.27</v>
      </c>
    </row>
    <row r="372" spans="1:2" x14ac:dyDescent="0.3">
      <c r="A372" s="50">
        <v>370</v>
      </c>
      <c r="B372" s="702">
        <v>0.26</v>
      </c>
    </row>
    <row r="373" spans="1:2" x14ac:dyDescent="0.3">
      <c r="A373" s="50">
        <v>371</v>
      </c>
      <c r="B373" s="702">
        <v>0.26</v>
      </c>
    </row>
    <row r="374" spans="1:2" x14ac:dyDescent="0.3">
      <c r="A374" s="50">
        <v>372</v>
      </c>
      <c r="B374" s="702">
        <v>0.26</v>
      </c>
    </row>
    <row r="375" spans="1:2" x14ac:dyDescent="0.3">
      <c r="A375" s="50">
        <v>373</v>
      </c>
      <c r="B375" s="702">
        <v>0.26</v>
      </c>
    </row>
    <row r="376" spans="1:2" x14ac:dyDescent="0.3">
      <c r="A376" s="50">
        <v>374</v>
      </c>
      <c r="B376" s="702">
        <v>0.26</v>
      </c>
    </row>
    <row r="377" spans="1:2" x14ac:dyDescent="0.3">
      <c r="A377" s="50">
        <v>375</v>
      </c>
      <c r="B377" s="702">
        <v>0.25</v>
      </c>
    </row>
    <row r="378" spans="1:2" x14ac:dyDescent="0.3">
      <c r="A378" s="50">
        <v>376</v>
      </c>
      <c r="B378" s="702">
        <v>0.25</v>
      </c>
    </row>
    <row r="379" spans="1:2" x14ac:dyDescent="0.3">
      <c r="A379" s="50">
        <v>377</v>
      </c>
      <c r="B379" s="702">
        <v>0.25</v>
      </c>
    </row>
    <row r="380" spans="1:2" x14ac:dyDescent="0.3">
      <c r="A380" s="50">
        <v>378</v>
      </c>
      <c r="B380" s="702">
        <v>0.25</v>
      </c>
    </row>
    <row r="381" spans="1:2" x14ac:dyDescent="0.3">
      <c r="A381" s="50">
        <v>379</v>
      </c>
      <c r="B381" s="702">
        <v>0.25</v>
      </c>
    </row>
    <row r="382" spans="1:2" x14ac:dyDescent="0.3">
      <c r="A382" s="50">
        <v>380</v>
      </c>
      <c r="B382" s="702">
        <v>0.24</v>
      </c>
    </row>
    <row r="383" spans="1:2" x14ac:dyDescent="0.3">
      <c r="A383" s="50">
        <v>381</v>
      </c>
      <c r="B383" s="702">
        <v>0.24</v>
      </c>
    </row>
    <row r="384" spans="1:2" x14ac:dyDescent="0.3">
      <c r="A384" s="50">
        <v>382</v>
      </c>
      <c r="B384" s="702">
        <v>0.24</v>
      </c>
    </row>
    <row r="385" spans="1:2" x14ac:dyDescent="0.3">
      <c r="A385" s="50">
        <v>383</v>
      </c>
      <c r="B385" s="702">
        <v>0.24</v>
      </c>
    </row>
    <row r="386" spans="1:2" x14ac:dyDescent="0.3">
      <c r="A386" s="50">
        <v>384</v>
      </c>
      <c r="B386" s="702">
        <v>0.24</v>
      </c>
    </row>
    <row r="387" spans="1:2" x14ac:dyDescent="0.3">
      <c r="A387" s="50">
        <v>385</v>
      </c>
      <c r="B387" s="702">
        <v>0.23</v>
      </c>
    </row>
    <row r="388" spans="1:2" x14ac:dyDescent="0.3">
      <c r="A388" s="50">
        <v>386</v>
      </c>
      <c r="B388" s="702">
        <v>0.23</v>
      </c>
    </row>
    <row r="389" spans="1:2" x14ac:dyDescent="0.3">
      <c r="A389" s="50">
        <v>387</v>
      </c>
      <c r="B389" s="702">
        <v>0.23</v>
      </c>
    </row>
    <row r="390" spans="1:2" x14ac:dyDescent="0.3">
      <c r="A390" s="50">
        <v>388</v>
      </c>
      <c r="B390" s="702">
        <v>0.23</v>
      </c>
    </row>
    <row r="391" spans="1:2" x14ac:dyDescent="0.3">
      <c r="A391" s="50">
        <v>389</v>
      </c>
      <c r="B391" s="702">
        <v>0.23</v>
      </c>
    </row>
    <row r="392" spans="1:2" x14ac:dyDescent="0.3">
      <c r="A392" s="50">
        <v>390</v>
      </c>
      <c r="B392" s="702">
        <v>0.22</v>
      </c>
    </row>
    <row r="393" spans="1:2" x14ac:dyDescent="0.3">
      <c r="A393" s="50">
        <v>391</v>
      </c>
      <c r="B393" s="702">
        <v>0.22</v>
      </c>
    </row>
    <row r="394" spans="1:2" x14ac:dyDescent="0.3">
      <c r="A394" s="50">
        <v>392</v>
      </c>
      <c r="B394" s="702">
        <v>0.22</v>
      </c>
    </row>
    <row r="395" spans="1:2" x14ac:dyDescent="0.3">
      <c r="A395" s="50">
        <v>393</v>
      </c>
      <c r="B395" s="702">
        <v>0.22</v>
      </c>
    </row>
    <row r="396" spans="1:2" x14ac:dyDescent="0.3">
      <c r="A396" s="50">
        <v>394</v>
      </c>
      <c r="B396" s="702">
        <v>0.22</v>
      </c>
    </row>
    <row r="397" spans="1:2" x14ac:dyDescent="0.3">
      <c r="A397" s="50">
        <v>395</v>
      </c>
      <c r="B397" s="702">
        <v>0.21</v>
      </c>
    </row>
    <row r="398" spans="1:2" x14ac:dyDescent="0.3">
      <c r="A398" s="50">
        <v>396</v>
      </c>
      <c r="B398" s="702">
        <v>0.21</v>
      </c>
    </row>
    <row r="399" spans="1:2" x14ac:dyDescent="0.3">
      <c r="A399" s="50">
        <v>397</v>
      </c>
      <c r="B399" s="702">
        <v>0.21</v>
      </c>
    </row>
    <row r="400" spans="1:2" x14ac:dyDescent="0.3">
      <c r="A400" s="50">
        <v>398</v>
      </c>
      <c r="B400" s="702">
        <v>0.21</v>
      </c>
    </row>
    <row r="401" spans="1:2" x14ac:dyDescent="0.3">
      <c r="A401" s="50">
        <v>399</v>
      </c>
      <c r="B401" s="702">
        <v>0.21</v>
      </c>
    </row>
    <row r="402" spans="1:2" x14ac:dyDescent="0.3">
      <c r="A402" s="50">
        <v>400</v>
      </c>
      <c r="B402" s="702">
        <v>0.2</v>
      </c>
    </row>
    <row r="403" spans="1:2" x14ac:dyDescent="0.3">
      <c r="A403" s="50">
        <v>401</v>
      </c>
      <c r="B403" s="702">
        <v>0.2</v>
      </c>
    </row>
    <row r="404" spans="1:2" x14ac:dyDescent="0.3">
      <c r="A404" s="50">
        <v>402</v>
      </c>
      <c r="B404" s="702">
        <v>0.2</v>
      </c>
    </row>
    <row r="405" spans="1:2" x14ac:dyDescent="0.3">
      <c r="A405" s="50">
        <v>403</v>
      </c>
      <c r="B405" s="702">
        <v>0.2</v>
      </c>
    </row>
    <row r="406" spans="1:2" x14ac:dyDescent="0.3">
      <c r="A406" s="50">
        <v>404</v>
      </c>
      <c r="B406" s="702">
        <v>0.2</v>
      </c>
    </row>
    <row r="407" spans="1:2" x14ac:dyDescent="0.3">
      <c r="A407" s="50">
        <v>405</v>
      </c>
      <c r="B407" s="702">
        <v>0.19</v>
      </c>
    </row>
    <row r="408" spans="1:2" x14ac:dyDescent="0.3">
      <c r="A408" s="50">
        <v>406</v>
      </c>
      <c r="B408" s="702">
        <v>0.19</v>
      </c>
    </row>
    <row r="409" spans="1:2" x14ac:dyDescent="0.3">
      <c r="A409" s="50">
        <v>407</v>
      </c>
      <c r="B409" s="702">
        <v>0.19</v>
      </c>
    </row>
    <row r="410" spans="1:2" x14ac:dyDescent="0.3">
      <c r="A410" s="50">
        <v>408</v>
      </c>
      <c r="B410" s="702">
        <v>0.19</v>
      </c>
    </row>
    <row r="411" spans="1:2" x14ac:dyDescent="0.3">
      <c r="A411" s="50">
        <v>409</v>
      </c>
      <c r="B411" s="702">
        <v>0.19</v>
      </c>
    </row>
    <row r="412" spans="1:2" x14ac:dyDescent="0.3">
      <c r="A412" s="50">
        <v>410</v>
      </c>
      <c r="B412" s="702">
        <v>0.18</v>
      </c>
    </row>
    <row r="413" spans="1:2" x14ac:dyDescent="0.3">
      <c r="A413" s="50">
        <v>411</v>
      </c>
      <c r="B413" s="702">
        <v>0.18</v>
      </c>
    </row>
    <row r="414" spans="1:2" x14ac:dyDescent="0.3">
      <c r="A414" s="50">
        <v>412</v>
      </c>
      <c r="B414" s="702">
        <v>0.18</v>
      </c>
    </row>
    <row r="415" spans="1:2" x14ac:dyDescent="0.3">
      <c r="A415" s="50">
        <v>413</v>
      </c>
      <c r="B415" s="702">
        <v>0.18</v>
      </c>
    </row>
    <row r="416" spans="1:2" x14ac:dyDescent="0.3">
      <c r="A416" s="50">
        <v>414</v>
      </c>
      <c r="B416" s="702">
        <v>0.18</v>
      </c>
    </row>
    <row r="417" spans="1:2" x14ac:dyDescent="0.3">
      <c r="A417" s="50">
        <v>415</v>
      </c>
      <c r="B417" s="702">
        <v>0.17</v>
      </c>
    </row>
    <row r="418" spans="1:2" x14ac:dyDescent="0.3">
      <c r="A418" s="50">
        <v>416</v>
      </c>
      <c r="B418" s="702">
        <v>0.17</v>
      </c>
    </row>
    <row r="419" spans="1:2" x14ac:dyDescent="0.3">
      <c r="A419" s="50">
        <v>417</v>
      </c>
      <c r="B419" s="702">
        <v>0.17</v>
      </c>
    </row>
    <row r="420" spans="1:2" x14ac:dyDescent="0.3">
      <c r="A420" s="50">
        <v>418</v>
      </c>
      <c r="B420" s="702">
        <v>0.17</v>
      </c>
    </row>
    <row r="421" spans="1:2" x14ac:dyDescent="0.3">
      <c r="A421" s="50">
        <v>419</v>
      </c>
      <c r="B421" s="702">
        <v>0.17</v>
      </c>
    </row>
    <row r="422" spans="1:2" x14ac:dyDescent="0.3">
      <c r="A422" s="50">
        <v>420</v>
      </c>
      <c r="B422" s="702">
        <v>0.16</v>
      </c>
    </row>
    <row r="423" spans="1:2" x14ac:dyDescent="0.3">
      <c r="A423" s="50">
        <v>421</v>
      </c>
      <c r="B423" s="702">
        <v>0.16</v>
      </c>
    </row>
    <row r="424" spans="1:2" x14ac:dyDescent="0.3">
      <c r="A424" s="50">
        <v>422</v>
      </c>
      <c r="B424" s="702">
        <v>0.16</v>
      </c>
    </row>
    <row r="425" spans="1:2" x14ac:dyDescent="0.3">
      <c r="A425" s="50">
        <v>423</v>
      </c>
      <c r="B425" s="702">
        <v>0.16</v>
      </c>
    </row>
    <row r="426" spans="1:2" x14ac:dyDescent="0.3">
      <c r="A426" s="50">
        <v>424</v>
      </c>
      <c r="B426" s="702">
        <v>0.16</v>
      </c>
    </row>
    <row r="427" spans="1:2" x14ac:dyDescent="0.3">
      <c r="A427" s="50">
        <v>425</v>
      </c>
      <c r="B427" s="702">
        <v>0.15</v>
      </c>
    </row>
    <row r="428" spans="1:2" x14ac:dyDescent="0.3">
      <c r="A428" s="50">
        <v>426</v>
      </c>
      <c r="B428" s="702">
        <v>0.15</v>
      </c>
    </row>
    <row r="429" spans="1:2" x14ac:dyDescent="0.3">
      <c r="A429" s="50">
        <v>427</v>
      </c>
      <c r="B429" s="702">
        <v>0.15</v>
      </c>
    </row>
    <row r="430" spans="1:2" x14ac:dyDescent="0.3">
      <c r="A430" s="50">
        <v>428</v>
      </c>
      <c r="B430" s="702">
        <v>0.15</v>
      </c>
    </row>
    <row r="431" spans="1:2" x14ac:dyDescent="0.3">
      <c r="A431" s="50">
        <v>429</v>
      </c>
      <c r="B431" s="702">
        <v>0.15</v>
      </c>
    </row>
    <row r="432" spans="1:2" x14ac:dyDescent="0.3">
      <c r="A432" s="50">
        <v>430</v>
      </c>
      <c r="B432" s="702">
        <v>0.14000000000000001</v>
      </c>
    </row>
    <row r="433" spans="1:2" x14ac:dyDescent="0.3">
      <c r="A433" s="50">
        <v>431</v>
      </c>
      <c r="B433" s="702">
        <v>0.14000000000000001</v>
      </c>
    </row>
    <row r="434" spans="1:2" x14ac:dyDescent="0.3">
      <c r="A434" s="50">
        <v>432</v>
      </c>
      <c r="B434" s="702">
        <v>0.14000000000000001</v>
      </c>
    </row>
    <row r="435" spans="1:2" x14ac:dyDescent="0.3">
      <c r="A435" s="50">
        <v>433</v>
      </c>
      <c r="B435" s="702">
        <v>0.14000000000000001</v>
      </c>
    </row>
    <row r="436" spans="1:2" x14ac:dyDescent="0.3">
      <c r="A436" s="50">
        <v>434</v>
      </c>
      <c r="B436" s="702">
        <v>0.14000000000000001</v>
      </c>
    </row>
    <row r="437" spans="1:2" x14ac:dyDescent="0.3">
      <c r="A437" s="50">
        <v>435</v>
      </c>
      <c r="B437" s="702">
        <v>0.13</v>
      </c>
    </row>
    <row r="438" spans="1:2" x14ac:dyDescent="0.3">
      <c r="A438" s="50">
        <v>436</v>
      </c>
      <c r="B438" s="702">
        <v>0.13</v>
      </c>
    </row>
    <row r="439" spans="1:2" x14ac:dyDescent="0.3">
      <c r="A439" s="50">
        <v>437</v>
      </c>
      <c r="B439" s="702">
        <v>0.13</v>
      </c>
    </row>
    <row r="440" spans="1:2" x14ac:dyDescent="0.3">
      <c r="A440" s="50">
        <v>438</v>
      </c>
      <c r="B440" s="702">
        <v>0.13</v>
      </c>
    </row>
    <row r="441" spans="1:2" x14ac:dyDescent="0.3">
      <c r="A441" s="50">
        <v>439</v>
      </c>
      <c r="B441" s="702">
        <v>0.13</v>
      </c>
    </row>
    <row r="442" spans="1:2" x14ac:dyDescent="0.3">
      <c r="A442" s="50">
        <v>440</v>
      </c>
      <c r="B442" s="702">
        <v>0.12</v>
      </c>
    </row>
    <row r="443" spans="1:2" x14ac:dyDescent="0.3">
      <c r="A443" s="50">
        <v>441</v>
      </c>
      <c r="B443" s="702">
        <v>0.12</v>
      </c>
    </row>
    <row r="444" spans="1:2" x14ac:dyDescent="0.3">
      <c r="A444" s="50">
        <v>442</v>
      </c>
      <c r="B444" s="702">
        <v>0.12</v>
      </c>
    </row>
    <row r="445" spans="1:2" x14ac:dyDescent="0.3">
      <c r="A445" s="50">
        <v>443</v>
      </c>
      <c r="B445" s="702">
        <v>0.12</v>
      </c>
    </row>
    <row r="446" spans="1:2" x14ac:dyDescent="0.3">
      <c r="A446" s="50">
        <v>444</v>
      </c>
      <c r="B446" s="702">
        <v>0.12</v>
      </c>
    </row>
    <row r="447" spans="1:2" x14ac:dyDescent="0.3">
      <c r="A447" s="50">
        <v>445</v>
      </c>
      <c r="B447" s="702">
        <v>0.11</v>
      </c>
    </row>
    <row r="448" spans="1:2" x14ac:dyDescent="0.3">
      <c r="A448" s="50">
        <v>446</v>
      </c>
      <c r="B448" s="702">
        <v>0.11</v>
      </c>
    </row>
    <row r="449" spans="1:2" x14ac:dyDescent="0.3">
      <c r="A449" s="50">
        <v>447</v>
      </c>
      <c r="B449" s="702">
        <v>0.11</v>
      </c>
    </row>
    <row r="450" spans="1:2" x14ac:dyDescent="0.3">
      <c r="A450" s="50">
        <v>448</v>
      </c>
      <c r="B450" s="702">
        <v>0.11</v>
      </c>
    </row>
    <row r="451" spans="1:2" x14ac:dyDescent="0.3">
      <c r="A451" s="50">
        <v>449</v>
      </c>
      <c r="B451" s="702">
        <v>0.11</v>
      </c>
    </row>
    <row r="452" spans="1:2" x14ac:dyDescent="0.3">
      <c r="A452" s="50">
        <v>450</v>
      </c>
      <c r="B452" s="702">
        <v>0.1</v>
      </c>
    </row>
    <row r="453" spans="1:2" x14ac:dyDescent="0.3">
      <c r="A453" s="50">
        <v>451</v>
      </c>
      <c r="B453" s="702">
        <v>0.1</v>
      </c>
    </row>
    <row r="454" spans="1:2" x14ac:dyDescent="0.3">
      <c r="A454" s="50">
        <v>452</v>
      </c>
      <c r="B454" s="702">
        <v>0.1</v>
      </c>
    </row>
    <row r="455" spans="1:2" x14ac:dyDescent="0.3">
      <c r="A455" s="50">
        <v>453</v>
      </c>
      <c r="B455" s="702">
        <v>0.1</v>
      </c>
    </row>
    <row r="456" spans="1:2" x14ac:dyDescent="0.3">
      <c r="A456" s="50">
        <v>454</v>
      </c>
      <c r="B456" s="702">
        <v>0.1</v>
      </c>
    </row>
    <row r="457" spans="1:2" x14ac:dyDescent="0.3">
      <c r="A457" s="50">
        <v>455</v>
      </c>
      <c r="B457" s="702">
        <v>0.09</v>
      </c>
    </row>
    <row r="458" spans="1:2" x14ac:dyDescent="0.3">
      <c r="A458" s="50">
        <v>456</v>
      </c>
      <c r="B458" s="702">
        <v>0.09</v>
      </c>
    </row>
    <row r="459" spans="1:2" x14ac:dyDescent="0.3">
      <c r="A459" s="50">
        <v>457</v>
      </c>
      <c r="B459" s="702">
        <v>0.09</v>
      </c>
    </row>
    <row r="460" spans="1:2" x14ac:dyDescent="0.3">
      <c r="A460" s="50">
        <v>458</v>
      </c>
      <c r="B460" s="702">
        <v>0.09</v>
      </c>
    </row>
    <row r="461" spans="1:2" x14ac:dyDescent="0.3">
      <c r="A461" s="50">
        <v>459</v>
      </c>
      <c r="B461" s="702">
        <v>0.09</v>
      </c>
    </row>
    <row r="462" spans="1:2" x14ac:dyDescent="0.3">
      <c r="A462" s="50">
        <v>460</v>
      </c>
      <c r="B462" s="702">
        <v>0.08</v>
      </c>
    </row>
    <row r="463" spans="1:2" x14ac:dyDescent="0.3">
      <c r="A463" s="50">
        <v>461</v>
      </c>
      <c r="B463" s="702">
        <v>0.08</v>
      </c>
    </row>
    <row r="464" spans="1:2" x14ac:dyDescent="0.3">
      <c r="A464" s="50">
        <v>462</v>
      </c>
      <c r="B464" s="702">
        <v>0.08</v>
      </c>
    </row>
    <row r="465" spans="1:2" x14ac:dyDescent="0.3">
      <c r="A465" s="50">
        <v>463</v>
      </c>
      <c r="B465" s="702">
        <v>0.08</v>
      </c>
    </row>
    <row r="466" spans="1:2" x14ac:dyDescent="0.3">
      <c r="A466" s="50">
        <v>464</v>
      </c>
      <c r="B466" s="702">
        <v>0.08</v>
      </c>
    </row>
    <row r="467" spans="1:2" x14ac:dyDescent="0.3">
      <c r="A467" s="50">
        <v>465</v>
      </c>
      <c r="B467" s="702">
        <v>7.0000000000000007E-2</v>
      </c>
    </row>
    <row r="468" spans="1:2" x14ac:dyDescent="0.3">
      <c r="A468" s="50">
        <v>466</v>
      </c>
      <c r="B468" s="702">
        <v>7.0000000000000007E-2</v>
      </c>
    </row>
    <row r="469" spans="1:2" x14ac:dyDescent="0.3">
      <c r="A469" s="50">
        <v>467</v>
      </c>
      <c r="B469" s="702">
        <v>7.0000000000000007E-2</v>
      </c>
    </row>
    <row r="470" spans="1:2" x14ac:dyDescent="0.3">
      <c r="A470" s="50">
        <v>468</v>
      </c>
      <c r="B470" s="702">
        <v>7.0000000000000007E-2</v>
      </c>
    </row>
    <row r="471" spans="1:2" x14ac:dyDescent="0.3">
      <c r="A471" s="50">
        <v>469</v>
      </c>
      <c r="B471" s="702">
        <v>7.0000000000000007E-2</v>
      </c>
    </row>
    <row r="472" spans="1:2" x14ac:dyDescent="0.3">
      <c r="A472" s="50">
        <v>470</v>
      </c>
      <c r="B472" s="702">
        <v>0.06</v>
      </c>
    </row>
    <row r="473" spans="1:2" x14ac:dyDescent="0.3">
      <c r="A473" s="50">
        <v>471</v>
      </c>
      <c r="B473" s="702">
        <v>0.06</v>
      </c>
    </row>
    <row r="474" spans="1:2" x14ac:dyDescent="0.3">
      <c r="A474" s="50">
        <v>472</v>
      </c>
      <c r="B474" s="702">
        <v>0.06</v>
      </c>
    </row>
    <row r="475" spans="1:2" x14ac:dyDescent="0.3">
      <c r="A475" s="50">
        <v>473</v>
      </c>
      <c r="B475" s="702">
        <v>0.06</v>
      </c>
    </row>
    <row r="476" spans="1:2" x14ac:dyDescent="0.3">
      <c r="A476" s="50">
        <v>474</v>
      </c>
      <c r="B476" s="702">
        <v>0.06</v>
      </c>
    </row>
    <row r="477" spans="1:2" x14ac:dyDescent="0.3">
      <c r="A477" s="50">
        <v>475</v>
      </c>
      <c r="B477" s="702">
        <v>0.05</v>
      </c>
    </row>
    <row r="478" spans="1:2" x14ac:dyDescent="0.3">
      <c r="A478" s="50">
        <v>476</v>
      </c>
      <c r="B478" s="702">
        <v>0.05</v>
      </c>
    </row>
    <row r="479" spans="1:2" x14ac:dyDescent="0.3">
      <c r="A479" s="50">
        <v>477</v>
      </c>
      <c r="B479" s="702">
        <v>0.05</v>
      </c>
    </row>
    <row r="480" spans="1:2" x14ac:dyDescent="0.3">
      <c r="A480" s="50">
        <v>478</v>
      </c>
      <c r="B480" s="702">
        <v>0.05</v>
      </c>
    </row>
    <row r="481" spans="1:2" x14ac:dyDescent="0.3">
      <c r="A481" s="50">
        <v>479</v>
      </c>
      <c r="B481" s="702">
        <v>0.05</v>
      </c>
    </row>
    <row r="482" spans="1:2" x14ac:dyDescent="0.3">
      <c r="A482" s="50">
        <v>480</v>
      </c>
      <c r="B482" s="702">
        <v>0.04</v>
      </c>
    </row>
    <row r="483" spans="1:2" x14ac:dyDescent="0.3">
      <c r="A483" s="50">
        <v>481</v>
      </c>
      <c r="B483" s="702">
        <v>0.04</v>
      </c>
    </row>
    <row r="484" spans="1:2" x14ac:dyDescent="0.3">
      <c r="A484" s="50">
        <v>482</v>
      </c>
      <c r="B484" s="702">
        <v>0.04</v>
      </c>
    </row>
    <row r="485" spans="1:2" x14ac:dyDescent="0.3">
      <c r="A485" s="50">
        <v>483</v>
      </c>
      <c r="B485" s="702">
        <v>0.04</v>
      </c>
    </row>
    <row r="486" spans="1:2" x14ac:dyDescent="0.3">
      <c r="A486" s="50">
        <v>484</v>
      </c>
      <c r="B486" s="702">
        <v>0.04</v>
      </c>
    </row>
    <row r="487" spans="1:2" x14ac:dyDescent="0.3">
      <c r="A487" s="50">
        <v>485</v>
      </c>
      <c r="B487" s="702">
        <v>0.03</v>
      </c>
    </row>
    <row r="488" spans="1:2" x14ac:dyDescent="0.3">
      <c r="A488" s="50">
        <v>486</v>
      </c>
      <c r="B488" s="702">
        <v>0.03</v>
      </c>
    </row>
    <row r="489" spans="1:2" x14ac:dyDescent="0.3">
      <c r="A489" s="50">
        <v>487</v>
      </c>
      <c r="B489" s="702">
        <v>0.03</v>
      </c>
    </row>
    <row r="490" spans="1:2" x14ac:dyDescent="0.3">
      <c r="A490" s="50">
        <v>488</v>
      </c>
      <c r="B490" s="702">
        <v>0.03</v>
      </c>
    </row>
    <row r="491" spans="1:2" x14ac:dyDescent="0.3">
      <c r="A491" s="50">
        <v>489</v>
      </c>
      <c r="B491" s="702">
        <v>0.03</v>
      </c>
    </row>
    <row r="492" spans="1:2" x14ac:dyDescent="0.3">
      <c r="A492" s="50">
        <v>490</v>
      </c>
      <c r="B492" s="702">
        <v>0.02</v>
      </c>
    </row>
    <row r="493" spans="1:2" x14ac:dyDescent="0.3">
      <c r="A493" s="50">
        <v>491</v>
      </c>
      <c r="B493" s="702">
        <v>0.02</v>
      </c>
    </row>
    <row r="494" spans="1:2" x14ac:dyDescent="0.3">
      <c r="A494" s="50">
        <v>492</v>
      </c>
      <c r="B494" s="702">
        <v>0.02</v>
      </c>
    </row>
    <row r="495" spans="1:2" x14ac:dyDescent="0.3">
      <c r="A495" s="50">
        <v>493</v>
      </c>
      <c r="B495" s="702">
        <v>0.02</v>
      </c>
    </row>
    <row r="496" spans="1:2" x14ac:dyDescent="0.3">
      <c r="A496" s="50">
        <v>494</v>
      </c>
      <c r="B496" s="702">
        <v>0.02</v>
      </c>
    </row>
    <row r="497" spans="1:2" x14ac:dyDescent="0.3">
      <c r="A497" s="50">
        <v>495</v>
      </c>
      <c r="B497" s="702">
        <v>0.01</v>
      </c>
    </row>
    <row r="498" spans="1:2" x14ac:dyDescent="0.3">
      <c r="A498" s="50">
        <v>496</v>
      </c>
      <c r="B498" s="702">
        <v>0.01</v>
      </c>
    </row>
    <row r="499" spans="1:2" x14ac:dyDescent="0.3">
      <c r="A499" s="50">
        <v>497</v>
      </c>
      <c r="B499" s="702">
        <v>0.01</v>
      </c>
    </row>
    <row r="500" spans="1:2" x14ac:dyDescent="0.3">
      <c r="A500" s="50">
        <v>498</v>
      </c>
      <c r="B500" s="702">
        <v>0.01</v>
      </c>
    </row>
    <row r="501" spans="1:2" x14ac:dyDescent="0.3">
      <c r="A501" s="50">
        <v>499</v>
      </c>
      <c r="B501" s="702">
        <v>0.01</v>
      </c>
    </row>
    <row r="502" spans="1:2" x14ac:dyDescent="0.3">
      <c r="A502" s="50">
        <v>500</v>
      </c>
      <c r="B502" s="702">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 x14ac:dyDescent="0.3"/>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3">
      <c r="A1" s="270" t="s">
        <v>2303</v>
      </c>
      <c r="B1" s="50" t="s">
        <v>1639</v>
      </c>
      <c r="C1" s="50" t="s">
        <v>1639</v>
      </c>
      <c r="D1" s="50" t="s">
        <v>1639</v>
      </c>
      <c r="E1" s="50" t="s">
        <v>1639</v>
      </c>
      <c r="F1" s="50" t="s">
        <v>1639</v>
      </c>
      <c r="G1" s="50" t="s">
        <v>1639</v>
      </c>
      <c r="H1" s="50" t="s">
        <v>1639</v>
      </c>
      <c r="I1" s="50" t="s">
        <v>1639</v>
      </c>
      <c r="J1" s="50" t="s">
        <v>1639</v>
      </c>
      <c r="K1" s="50" t="s">
        <v>1639</v>
      </c>
      <c r="L1" s="50" t="s">
        <v>1639</v>
      </c>
      <c r="M1" s="50" t="s">
        <v>1639</v>
      </c>
      <c r="N1" s="39"/>
    </row>
    <row r="2" spans="1:93" ht="100.5" customHeight="1" x14ac:dyDescent="0.3">
      <c r="A2" s="694" t="s">
        <v>1963</v>
      </c>
      <c r="B2" s="694" t="s">
        <v>1640</v>
      </c>
      <c r="C2" s="694" t="s">
        <v>1641</v>
      </c>
      <c r="D2" s="694" t="s">
        <v>1642</v>
      </c>
      <c r="E2" s="694" t="s">
        <v>1643</v>
      </c>
      <c r="F2" s="694" t="s">
        <v>691</v>
      </c>
      <c r="G2" s="694" t="s">
        <v>694</v>
      </c>
      <c r="H2" s="694" t="s">
        <v>695</v>
      </c>
      <c r="I2" s="694" t="s">
        <v>697</v>
      </c>
      <c r="J2" s="694" t="s">
        <v>699</v>
      </c>
      <c r="K2" s="694" t="s">
        <v>1964</v>
      </c>
      <c r="L2" s="694" t="s">
        <v>592</v>
      </c>
      <c r="M2" s="694" t="s">
        <v>1617</v>
      </c>
      <c r="N2" s="329"/>
      <c r="O2" s="275" t="s">
        <v>27</v>
      </c>
      <c r="P2" s="685" t="s">
        <v>2315</v>
      </c>
      <c r="Q2" s="685" t="s">
        <v>1306</v>
      </c>
      <c r="R2" s="685" t="s">
        <v>2316</v>
      </c>
      <c r="S2" s="328"/>
      <c r="T2" s="327"/>
      <c r="U2" s="696" t="s">
        <v>2315</v>
      </c>
      <c r="V2" s="696" t="s">
        <v>1306</v>
      </c>
      <c r="W2" s="696" t="s">
        <v>2316</v>
      </c>
      <c r="X2" s="327"/>
      <c r="Y2" s="14" t="s">
        <v>1469</v>
      </c>
      <c r="Z2" s="696" t="s">
        <v>2317</v>
      </c>
      <c r="AA2" s="696" t="s">
        <v>1306</v>
      </c>
      <c r="AB2" s="696" t="s">
        <v>2318</v>
      </c>
      <c r="AC2" s="328"/>
      <c r="AD2" s="327"/>
      <c r="AE2" s="696" t="s">
        <v>2317</v>
      </c>
      <c r="AF2" s="696" t="s">
        <v>1306</v>
      </c>
      <c r="AG2" s="696" t="s">
        <v>2318</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3">
      <c r="A3" s="50">
        <v>0</v>
      </c>
      <c r="B3" s="553">
        <v>0.13</v>
      </c>
      <c r="C3" s="553">
        <v>0.15</v>
      </c>
      <c r="D3" s="553">
        <v>0.02</v>
      </c>
      <c r="E3" s="553">
        <v>0.15</v>
      </c>
      <c r="F3" s="553">
        <v>7.0000000000000007E-2</v>
      </c>
      <c r="G3" s="553">
        <v>0.08</v>
      </c>
      <c r="H3" s="553">
        <v>0.01</v>
      </c>
      <c r="I3" s="553">
        <v>0.08</v>
      </c>
      <c r="J3" s="588">
        <v>0.03</v>
      </c>
      <c r="K3" s="588">
        <v>0.04</v>
      </c>
      <c r="L3" s="588">
        <v>0.01</v>
      </c>
      <c r="M3" s="553">
        <v>0.04</v>
      </c>
      <c r="O3" s="147" t="s">
        <v>414</v>
      </c>
      <c r="P3" s="585" t="str">
        <f>IF('Shoulder-Right'!T7="","",'Shoulder-Right'!T7)</f>
        <v/>
      </c>
      <c r="Q3" s="585" t="str">
        <f>IF(P3="","",ROUND(P3,0))</f>
        <v/>
      </c>
      <c r="R3" s="194">
        <f>IF(Q3="",0,VLOOKUP(Q3,$A$3:$N$183,2))</f>
        <v>0</v>
      </c>
      <c r="T3" s="147" t="s">
        <v>1596</v>
      </c>
      <c r="U3" s="585" t="str">
        <f>IF('Shoulder-Right'!V7="","",'Shoulder-Right'!V7)</f>
        <v/>
      </c>
      <c r="V3" s="585" t="str">
        <f>IF(U3="","",ROUND(U3,0))</f>
        <v/>
      </c>
      <c r="W3" s="194">
        <f>IF(V3="",0,VLOOKUP(V3,$A$3:$N$183,2))</f>
        <v>0</v>
      </c>
      <c r="Y3" s="147" t="s">
        <v>414</v>
      </c>
      <c r="Z3" s="585" t="str">
        <f>IF('Shoulder-Left'!T7="","",'Shoulder-Left'!T7)</f>
        <v/>
      </c>
      <c r="AA3" s="585" t="str">
        <f t="shared" ref="AA3:AA14" si="0">IF(Z3="","",ROUND(Z3,0))</f>
        <v/>
      </c>
      <c r="AB3" s="194">
        <f>IF(AA3="",0,VLOOKUP(AA3,$A$3:$N$183,2))</f>
        <v>0</v>
      </c>
      <c r="AC3" s="62"/>
      <c r="AD3" s="147" t="s">
        <v>1596</v>
      </c>
      <c r="AE3" s="585" t="str">
        <f>IF('Shoulder-Left'!V7="","",'Shoulder-Left'!V7)</f>
        <v/>
      </c>
      <c r="AF3" s="585" t="str">
        <f>IF(AE3="","",ROUND(AE3,0))</f>
        <v/>
      </c>
      <c r="AG3" s="194">
        <f>IF(AF3="",0,VLOOKUP(AF3,$A$3:$N$183,2))</f>
        <v>0</v>
      </c>
    </row>
    <row r="4" spans="1:93" ht="15" customHeight="1" x14ac:dyDescent="0.3">
      <c r="A4" s="50">
        <v>1</v>
      </c>
      <c r="B4" s="553">
        <v>0.127</v>
      </c>
      <c r="C4" s="553">
        <v>0.14699999999999999</v>
      </c>
      <c r="D4" s="553">
        <v>1.9E-2</v>
      </c>
      <c r="E4" s="553">
        <v>0.15</v>
      </c>
      <c r="F4" s="553">
        <v>6.9000000000000006E-2</v>
      </c>
      <c r="G4" s="553">
        <v>7.9000000000000001E-2</v>
      </c>
      <c r="H4" s="553">
        <v>0.01</v>
      </c>
      <c r="I4" s="553">
        <v>8.1000000000000003E-2</v>
      </c>
      <c r="J4" s="588">
        <v>0.03</v>
      </c>
      <c r="K4" s="588">
        <v>0.04</v>
      </c>
      <c r="L4" s="588">
        <v>0.01</v>
      </c>
      <c r="M4" s="553">
        <v>4.1000000000000002E-2</v>
      </c>
      <c r="O4" s="147" t="s">
        <v>415</v>
      </c>
      <c r="P4" s="585" t="str">
        <f>IF('Shoulder-Right'!T8="","",'Shoulder-Right'!T8)</f>
        <v/>
      </c>
      <c r="Q4" s="585" t="str">
        <f t="shared" ref="Q4:Q14" si="1">IF(P4="","",ROUND(P4,0))</f>
        <v/>
      </c>
      <c r="R4" s="194">
        <f>IF(Q4="",0,VLOOKUP(Q4,$A$3:$N$183,3))</f>
        <v>0</v>
      </c>
      <c r="T4" s="147"/>
      <c r="U4" s="585"/>
      <c r="V4" s="585"/>
      <c r="W4" s="194"/>
      <c r="Y4" s="147" t="s">
        <v>415</v>
      </c>
      <c r="Z4" s="585" t="str">
        <f>IF('Shoulder-Left'!T8="","",'Shoulder-Left'!T8)</f>
        <v/>
      </c>
      <c r="AA4" s="585" t="str">
        <f t="shared" si="0"/>
        <v/>
      </c>
      <c r="AB4" s="194">
        <f>IF(AA4="",0,VLOOKUP(AA4,$A$3:$N$183,3))</f>
        <v>0</v>
      </c>
      <c r="AC4" s="62"/>
      <c r="AD4" s="147"/>
      <c r="AE4" s="585"/>
      <c r="AF4" s="585"/>
      <c r="AG4" s="194"/>
    </row>
    <row r="5" spans="1:93" ht="15" customHeight="1" x14ac:dyDescent="0.3">
      <c r="A5" s="50">
        <v>2</v>
      </c>
      <c r="B5" s="553">
        <v>0.124</v>
      </c>
      <c r="C5" s="553">
        <v>0.14399999999999999</v>
      </c>
      <c r="D5" s="553">
        <v>1.7999999999999999E-2</v>
      </c>
      <c r="E5" s="553">
        <v>0.15</v>
      </c>
      <c r="F5" s="553">
        <v>6.8000000000000005E-2</v>
      </c>
      <c r="G5" s="553">
        <v>7.8E-2</v>
      </c>
      <c r="H5" s="553">
        <v>0.01</v>
      </c>
      <c r="I5" s="553">
        <v>8.2000000000000003E-2</v>
      </c>
      <c r="J5" s="588">
        <v>0.03</v>
      </c>
      <c r="K5" s="588">
        <v>0.04</v>
      </c>
      <c r="L5" s="588">
        <v>0.01</v>
      </c>
      <c r="M5" s="553">
        <v>4.2000000000000003E-2</v>
      </c>
      <c r="O5" s="147" t="s">
        <v>416</v>
      </c>
      <c r="P5" s="585" t="str">
        <f>IF('Shoulder-Right'!T9="","",'Shoulder-Right'!T9)</f>
        <v/>
      </c>
      <c r="Q5" s="585" t="str">
        <f t="shared" si="1"/>
        <v/>
      </c>
      <c r="R5" s="194">
        <f>IF(Q5="",0,VLOOKUP(Q5,$A$3:$N$183,4))</f>
        <v>0</v>
      </c>
      <c r="T5" s="147" t="s">
        <v>1596</v>
      </c>
      <c r="U5" s="585" t="str">
        <f>IF('Shoulder-Right'!V9="","",'Shoulder-Right'!V9)</f>
        <v/>
      </c>
      <c r="V5" s="585" t="str">
        <f>IF(U5="","",ROUND(U5,0))</f>
        <v/>
      </c>
      <c r="W5" s="194">
        <f>IF(V5="",0,VLOOKUP(V5,$A$3:$N$183,4))</f>
        <v>0</v>
      </c>
      <c r="Y5" s="147" t="s">
        <v>416</v>
      </c>
      <c r="Z5" s="585" t="str">
        <f>IF('Shoulder-Left'!T9="","",'Shoulder-Left'!T9)</f>
        <v/>
      </c>
      <c r="AA5" s="585" t="str">
        <f t="shared" si="0"/>
        <v/>
      </c>
      <c r="AB5" s="194">
        <f>IF(AA5="",0,VLOOKUP(AA5,$A$3:$N$183,4))</f>
        <v>0</v>
      </c>
      <c r="AC5" s="62"/>
      <c r="AD5" s="147" t="s">
        <v>1596</v>
      </c>
      <c r="AE5" s="585" t="str">
        <f>IF('Shoulder-Left'!V9="","",'Shoulder-Left'!V9)</f>
        <v/>
      </c>
      <c r="AF5" s="585" t="str">
        <f>IF(AE5="","",ROUND(AE5,0))</f>
        <v/>
      </c>
      <c r="AG5" s="194">
        <f>IF(AF5="",0,VLOOKUP(AF5,$A$3:$N$183,4))</f>
        <v>0</v>
      </c>
    </row>
    <row r="6" spans="1:93" ht="15" customHeight="1" x14ac:dyDescent="0.3">
      <c r="A6" s="50">
        <v>3</v>
      </c>
      <c r="B6" s="553">
        <v>0.121</v>
      </c>
      <c r="C6" s="553">
        <v>0.14099999999999999</v>
      </c>
      <c r="D6" s="553">
        <v>1.7000000000000001E-2</v>
      </c>
      <c r="E6" s="553">
        <v>0.15</v>
      </c>
      <c r="F6" s="553">
        <v>6.7000000000000004E-2</v>
      </c>
      <c r="G6" s="553">
        <v>7.6999999999999999E-2</v>
      </c>
      <c r="H6" s="553">
        <v>0.01</v>
      </c>
      <c r="I6" s="553">
        <v>8.3000000000000004E-2</v>
      </c>
      <c r="J6" s="588">
        <v>0.03</v>
      </c>
      <c r="K6" s="588">
        <v>0.04</v>
      </c>
      <c r="L6" s="588">
        <v>0.01</v>
      </c>
      <c r="M6" s="553">
        <v>4.2999999999999997E-2</v>
      </c>
      <c r="O6" s="147" t="s">
        <v>417</v>
      </c>
      <c r="P6" s="585" t="str">
        <f>IF('Shoulder-Right'!T10="","",'Shoulder-Right'!T10)</f>
        <v/>
      </c>
      <c r="Q6" s="585" t="str">
        <f t="shared" si="1"/>
        <v/>
      </c>
      <c r="R6" s="194">
        <f>IF(Q6="",0,VLOOKUP(Q6,$A$3:$N$183,5))</f>
        <v>0</v>
      </c>
      <c r="T6" s="147"/>
      <c r="U6" s="147"/>
      <c r="V6" s="147"/>
      <c r="W6" s="147"/>
      <c r="Y6" s="147" t="s">
        <v>417</v>
      </c>
      <c r="Z6" s="585" t="str">
        <f>IF('Shoulder-Left'!T10="","",'Shoulder-Left'!T10)</f>
        <v/>
      </c>
      <c r="AA6" s="585" t="str">
        <f t="shared" si="0"/>
        <v/>
      </c>
      <c r="AB6" s="194">
        <f>IF(AA6="",0,VLOOKUP(AA6,$A$3:$N$183,5))</f>
        <v>0</v>
      </c>
      <c r="AC6" s="62"/>
      <c r="AD6" s="147"/>
      <c r="AE6" s="147"/>
      <c r="AF6" s="147"/>
      <c r="AG6" s="147"/>
    </row>
    <row r="7" spans="1:93" ht="15" customHeight="1" x14ac:dyDescent="0.3">
      <c r="A7" s="50">
        <v>4</v>
      </c>
      <c r="B7" s="553">
        <v>0.11799999999999999</v>
      </c>
      <c r="C7" s="553">
        <v>0.13800000000000001</v>
      </c>
      <c r="D7" s="611">
        <v>1.6E-2</v>
      </c>
      <c r="E7" s="553">
        <v>0.15</v>
      </c>
      <c r="F7" s="553">
        <v>6.6000000000000003E-2</v>
      </c>
      <c r="G7" s="553">
        <v>7.5999999999999998E-2</v>
      </c>
      <c r="H7" s="553">
        <v>0.01</v>
      </c>
      <c r="I7" s="553">
        <v>8.4000000000000005E-2</v>
      </c>
      <c r="J7" s="588">
        <v>0.03</v>
      </c>
      <c r="K7" s="588">
        <v>0.04</v>
      </c>
      <c r="L7" s="588">
        <v>0.01</v>
      </c>
      <c r="M7" s="553">
        <v>4.3999999999999997E-2</v>
      </c>
      <c r="O7" s="147" t="s">
        <v>691</v>
      </c>
      <c r="P7" s="585" t="str">
        <f>IF('Shoulder-Right'!T11="","",'Shoulder-Right'!T11)</f>
        <v/>
      </c>
      <c r="Q7" s="585" t="str">
        <f t="shared" si="1"/>
        <v/>
      </c>
      <c r="R7" s="194">
        <f>IF(Q7="",0,VLOOKUP(Q7,$A$3:$N$183,6))</f>
        <v>0</v>
      </c>
      <c r="T7" s="147" t="s">
        <v>1618</v>
      </c>
      <c r="U7" s="585" t="str">
        <f>IF('Shoulder-Right'!V11="","",'Shoulder-Right'!V11)</f>
        <v/>
      </c>
      <c r="V7" s="585" t="str">
        <f>IF(U7="","",ROUND(U7,0))</f>
        <v/>
      </c>
      <c r="W7" s="194">
        <f>IF(V7="",0,VLOOKUP(V7,$A$3:$N$183,6))</f>
        <v>0</v>
      </c>
      <c r="Y7" s="147" t="s">
        <v>691</v>
      </c>
      <c r="Z7" s="585" t="str">
        <f>IF('Shoulder-Left'!T11="","",'Shoulder-Left'!T11)</f>
        <v/>
      </c>
      <c r="AA7" s="585" t="str">
        <f t="shared" si="0"/>
        <v/>
      </c>
      <c r="AB7" s="194">
        <f>IF(AA7="",0,VLOOKUP(AA7,$A$3:$N$183,6))</f>
        <v>0</v>
      </c>
      <c r="AC7" s="62"/>
      <c r="AD7" s="147" t="s">
        <v>1618</v>
      </c>
      <c r="AE7" s="585" t="str">
        <f>IF('Shoulder-Left'!V11="","",'Shoulder-Left'!V11)</f>
        <v/>
      </c>
      <c r="AF7" s="585" t="str">
        <f>IF(AE7="","",ROUND(AE7,0))</f>
        <v/>
      </c>
      <c r="AG7" s="194">
        <f>IF(AF7="",0,VLOOKUP(AF7,$A$3:$N$183,6))</f>
        <v>0</v>
      </c>
    </row>
    <row r="8" spans="1:93" ht="15" customHeight="1" x14ac:dyDescent="0.3">
      <c r="A8" s="50">
        <v>5</v>
      </c>
      <c r="B8" s="553">
        <v>0.115</v>
      </c>
      <c r="C8" s="553">
        <v>0.13500000000000001</v>
      </c>
      <c r="D8" s="553">
        <v>1.4999999999999999E-2</v>
      </c>
      <c r="E8" s="553">
        <v>0.15</v>
      </c>
      <c r="F8" s="553">
        <v>6.5000000000000002E-2</v>
      </c>
      <c r="G8" s="553">
        <v>7.4999999999999997E-2</v>
      </c>
      <c r="H8" s="553">
        <v>0.01</v>
      </c>
      <c r="I8" s="553">
        <v>8.5000000000000006E-2</v>
      </c>
      <c r="J8" s="588">
        <v>0.03</v>
      </c>
      <c r="K8" s="588">
        <v>0.04</v>
      </c>
      <c r="L8" s="588">
        <v>0.01</v>
      </c>
      <c r="M8" s="553">
        <v>4.4999999999999998E-2</v>
      </c>
      <c r="O8" s="147" t="s">
        <v>694</v>
      </c>
      <c r="P8" s="585" t="str">
        <f>IF('Shoulder-Right'!T12="","",'Shoulder-Right'!T12)</f>
        <v/>
      </c>
      <c r="Q8" s="585" t="str">
        <f t="shared" si="1"/>
        <v/>
      </c>
      <c r="R8" s="194">
        <f>IF(Q8="",0,VLOOKUP(Q8,$A$3:$N$183,7))</f>
        <v>0</v>
      </c>
      <c r="T8" s="147"/>
      <c r="U8" s="147"/>
      <c r="V8" s="147"/>
      <c r="W8" s="147"/>
      <c r="Y8" s="147" t="s">
        <v>694</v>
      </c>
      <c r="Z8" s="585" t="str">
        <f>IF('Shoulder-Left'!T12="","",'Shoulder-Left'!T12)</f>
        <v/>
      </c>
      <c r="AA8" s="585" t="str">
        <f t="shared" si="0"/>
        <v/>
      </c>
      <c r="AB8" s="194">
        <f>IF(AA8="",0,VLOOKUP(AA8,$A$3:$N$183,7))</f>
        <v>0</v>
      </c>
      <c r="AC8" s="62"/>
      <c r="AD8" s="147"/>
      <c r="AE8" s="147"/>
      <c r="AF8" s="147"/>
      <c r="AG8" s="147"/>
    </row>
    <row r="9" spans="1:93" ht="15" customHeight="1" x14ac:dyDescent="0.3">
      <c r="A9" s="50">
        <v>6</v>
      </c>
      <c r="B9" s="553">
        <v>0.112</v>
      </c>
      <c r="C9" s="553">
        <v>0.13200000000000001</v>
      </c>
      <c r="D9" s="553">
        <v>1.4E-2</v>
      </c>
      <c r="E9" s="553">
        <v>0.15</v>
      </c>
      <c r="F9" s="553">
        <v>6.4000000000000001E-2</v>
      </c>
      <c r="G9" s="553">
        <v>7.3999999999999996E-2</v>
      </c>
      <c r="H9" s="553">
        <v>0.01</v>
      </c>
      <c r="I9" s="611">
        <v>8.5999999999999993E-2</v>
      </c>
      <c r="J9" s="588">
        <v>0.03</v>
      </c>
      <c r="K9" s="588">
        <v>0.04</v>
      </c>
      <c r="L9" s="588">
        <v>0.01</v>
      </c>
      <c r="M9" s="611">
        <v>4.5999999999999999E-2</v>
      </c>
      <c r="O9" s="147" t="s">
        <v>695</v>
      </c>
      <c r="P9" s="585" t="str">
        <f>IF('Shoulder-Right'!T13="","",'Shoulder-Right'!T13)</f>
        <v/>
      </c>
      <c r="Q9" s="585" t="str">
        <f t="shared" si="1"/>
        <v/>
      </c>
      <c r="R9" s="194">
        <f>IF(Q9="",0,VLOOKUP(Q9,$A$3:$N$183,8))</f>
        <v>0</v>
      </c>
      <c r="T9" s="147" t="s">
        <v>1596</v>
      </c>
      <c r="U9" s="585" t="str">
        <f>IF('Shoulder-Right'!V13="","",'Shoulder-Right'!V13)</f>
        <v/>
      </c>
      <c r="V9" s="585" t="str">
        <f>IF(U9="","",ROUND(U9,0))</f>
        <v/>
      </c>
      <c r="W9" s="194">
        <f>IF(V9="",0,VLOOKUP(V9,$A$3:$N$183,8))</f>
        <v>0</v>
      </c>
      <c r="Y9" s="147" t="s">
        <v>695</v>
      </c>
      <c r="Z9" s="585" t="str">
        <f>IF('Shoulder-Left'!T13="","",'Shoulder-Left'!T13)</f>
        <v/>
      </c>
      <c r="AA9" s="585" t="str">
        <f t="shared" si="0"/>
        <v/>
      </c>
      <c r="AB9" s="194">
        <f>IF(AA9="",0,VLOOKUP(AA9,$A$3:$N$183,8))</f>
        <v>0</v>
      </c>
      <c r="AC9" s="62"/>
      <c r="AD9" s="147" t="s">
        <v>1596</v>
      </c>
      <c r="AE9" s="585" t="str">
        <f>IF('Shoulder-Left'!V13="","",'Shoulder-Left'!V13)</f>
        <v/>
      </c>
      <c r="AF9" s="585" t="str">
        <f>IF(AE9="","",ROUND(AE9,0))</f>
        <v/>
      </c>
      <c r="AG9" s="194">
        <f>IF(AF9="",0,VLOOKUP(AF9,$A$3:$N$183,8))</f>
        <v>0</v>
      </c>
    </row>
    <row r="10" spans="1:93" ht="15" customHeight="1" x14ac:dyDescent="0.3">
      <c r="A10" s="50">
        <v>7</v>
      </c>
      <c r="B10" s="553">
        <v>0.109</v>
      </c>
      <c r="C10" s="553">
        <v>0.129</v>
      </c>
      <c r="D10" s="553">
        <v>1.2999999999999999E-2</v>
      </c>
      <c r="E10" s="553">
        <v>0.15</v>
      </c>
      <c r="F10" s="553">
        <v>6.3E-2</v>
      </c>
      <c r="G10" s="553">
        <v>7.2999999999999995E-2</v>
      </c>
      <c r="H10" s="553">
        <v>0.01</v>
      </c>
      <c r="I10" s="553">
        <v>8.6999999999999994E-2</v>
      </c>
      <c r="J10" s="588">
        <v>0.03</v>
      </c>
      <c r="K10" s="588">
        <v>0.04</v>
      </c>
      <c r="L10" s="588">
        <v>0.01</v>
      </c>
      <c r="M10" s="553">
        <v>4.7E-2</v>
      </c>
      <c r="O10" s="147" t="s">
        <v>697</v>
      </c>
      <c r="P10" s="585" t="str">
        <f>IF('Shoulder-Right'!T14="","",'Shoulder-Right'!T14)</f>
        <v/>
      </c>
      <c r="Q10" s="585" t="str">
        <f t="shared" si="1"/>
        <v/>
      </c>
      <c r="R10" s="194">
        <f>IF(Q10="",0,VLOOKUP(Q10,$A$3:$N$183,9))</f>
        <v>0</v>
      </c>
      <c r="T10" s="147"/>
      <c r="U10" s="147"/>
      <c r="V10" s="147"/>
      <c r="W10" s="147"/>
      <c r="Y10" s="147" t="s">
        <v>697</v>
      </c>
      <c r="Z10" s="585" t="str">
        <f>IF('Shoulder-Left'!T14="","",'Shoulder-Left'!T14)</f>
        <v/>
      </c>
      <c r="AA10" s="585" t="str">
        <f t="shared" si="0"/>
        <v/>
      </c>
      <c r="AB10" s="194">
        <f>IF(AA10="",0,VLOOKUP(AA10,$A$3:$N$183,9))</f>
        <v>0</v>
      </c>
      <c r="AC10" s="62"/>
      <c r="AD10" s="147"/>
      <c r="AE10" s="147"/>
      <c r="AF10" s="147"/>
      <c r="AG10" s="147"/>
    </row>
    <row r="11" spans="1:93" ht="15" customHeight="1" x14ac:dyDescent="0.3">
      <c r="A11" s="50">
        <v>8</v>
      </c>
      <c r="B11" s="553">
        <v>0.106</v>
      </c>
      <c r="C11" s="553">
        <v>0.126</v>
      </c>
      <c r="D11" s="553">
        <v>1.2E-2</v>
      </c>
      <c r="E11" s="553">
        <v>0.15</v>
      </c>
      <c r="F11" s="553">
        <v>6.2E-2</v>
      </c>
      <c r="G11" s="553">
        <v>7.1999999999999995E-2</v>
      </c>
      <c r="H11" s="553">
        <v>0.01</v>
      </c>
      <c r="I11" s="553">
        <v>8.7999999999999995E-2</v>
      </c>
      <c r="J11" s="588">
        <v>0.03</v>
      </c>
      <c r="K11" s="588">
        <v>0.04</v>
      </c>
      <c r="L11" s="588">
        <v>0.01</v>
      </c>
      <c r="M11" s="553">
        <v>4.8000000000000001E-2</v>
      </c>
      <c r="O11" s="147" t="s">
        <v>699</v>
      </c>
      <c r="P11" s="585" t="str">
        <f>IF('Shoulder-Right'!T15="","",'Shoulder-Right'!T15)</f>
        <v/>
      </c>
      <c r="Q11" s="585" t="str">
        <f t="shared" si="1"/>
        <v/>
      </c>
      <c r="R11" s="194">
        <f>IF(Q11="",0,VLOOKUP(Q11,$A$3:$N$183,10))</f>
        <v>0</v>
      </c>
      <c r="T11" s="147" t="s">
        <v>1596</v>
      </c>
      <c r="U11" s="585" t="str">
        <f>IF('Shoulder-Right'!V15="","",'Shoulder-Right'!V15)</f>
        <v/>
      </c>
      <c r="V11" s="585" t="str">
        <f>IF(U11="","",ROUND(U11,0))</f>
        <v/>
      </c>
      <c r="W11" s="194">
        <f>IF(V11="",0,VLOOKUP(V11,$A$3:$N$183,10))</f>
        <v>0</v>
      </c>
      <c r="Y11" s="147" t="s">
        <v>699</v>
      </c>
      <c r="Z11" s="585" t="str">
        <f>IF('Shoulder-Left'!T15="","",'Shoulder-Left'!T15)</f>
        <v/>
      </c>
      <c r="AA11" s="585" t="str">
        <f t="shared" si="0"/>
        <v/>
      </c>
      <c r="AB11" s="194">
        <f>IF(AA11="",0,VLOOKUP(AA11,$A$3:$N$183,10))</f>
        <v>0</v>
      </c>
      <c r="AC11" s="62"/>
      <c r="AD11" s="147" t="s">
        <v>1596</v>
      </c>
      <c r="AE11" s="585" t="str">
        <f>IF('Shoulder-Left'!V15="","",'Shoulder-Left'!V15)</f>
        <v/>
      </c>
      <c r="AF11" s="585" t="str">
        <f>IF(AE11="","",ROUND(AE11,0))</f>
        <v/>
      </c>
      <c r="AG11" s="194">
        <f>IF(AF11="",0,VLOOKUP(AF11,$A$3:$N$183,10))</f>
        <v>0</v>
      </c>
    </row>
    <row r="12" spans="1:93" ht="15" customHeight="1" x14ac:dyDescent="0.3">
      <c r="A12" s="50">
        <v>9</v>
      </c>
      <c r="B12" s="553">
        <v>0.10299999999999999</v>
      </c>
      <c r="C12" s="553">
        <v>0.123</v>
      </c>
      <c r="D12" s="553">
        <v>1.0999999999999999E-2</v>
      </c>
      <c r="E12" s="553">
        <v>0.15</v>
      </c>
      <c r="F12" s="553">
        <v>6.0999999999999999E-2</v>
      </c>
      <c r="G12" s="553">
        <v>7.0999999999999994E-2</v>
      </c>
      <c r="H12" s="553">
        <v>0.01</v>
      </c>
      <c r="I12" s="553">
        <v>8.8999999999999996E-2</v>
      </c>
      <c r="J12" s="588">
        <v>0.03</v>
      </c>
      <c r="K12" s="588">
        <v>0.04</v>
      </c>
      <c r="L12" s="588">
        <v>0.01</v>
      </c>
      <c r="M12" s="553">
        <v>4.9000000000000002E-2</v>
      </c>
      <c r="O12" s="147" t="s">
        <v>1964</v>
      </c>
      <c r="P12" s="585" t="str">
        <f>IF('Shoulder-Right'!T16="","",'Shoulder-Right'!T16)</f>
        <v/>
      </c>
      <c r="Q12" s="585" t="str">
        <f t="shared" si="1"/>
        <v/>
      </c>
      <c r="R12" s="194">
        <f>IF(Q12="",0,VLOOKUP(Q12,$A$3:$N$183,11))</f>
        <v>0</v>
      </c>
      <c r="T12" s="147"/>
      <c r="U12" s="147"/>
      <c r="V12" s="147"/>
      <c r="W12" s="147"/>
      <c r="Y12" s="147" t="s">
        <v>1964</v>
      </c>
      <c r="Z12" s="585" t="str">
        <f>IF('Shoulder-Left'!T16="","",'Shoulder-Left'!T16)</f>
        <v/>
      </c>
      <c r="AA12" s="585" t="str">
        <f t="shared" si="0"/>
        <v/>
      </c>
      <c r="AB12" s="194">
        <f>IF(AA12="",0,VLOOKUP(AA12,$A$3:$N$183,11))</f>
        <v>0</v>
      </c>
      <c r="AC12" s="62"/>
      <c r="AD12" s="147"/>
      <c r="AE12" s="147"/>
      <c r="AF12" s="147"/>
      <c r="AG12" s="147"/>
    </row>
    <row r="13" spans="1:93" ht="15" customHeight="1" x14ac:dyDescent="0.3">
      <c r="A13" s="50">
        <v>10</v>
      </c>
      <c r="B13" s="553">
        <v>0.1</v>
      </c>
      <c r="C13" s="553">
        <v>0.12</v>
      </c>
      <c r="D13" s="553">
        <v>0.01</v>
      </c>
      <c r="E13" s="553">
        <v>0.15</v>
      </c>
      <c r="F13" s="553">
        <v>0.06</v>
      </c>
      <c r="G13" s="553">
        <v>7.0000000000000007E-2</v>
      </c>
      <c r="H13" s="553">
        <v>0.01</v>
      </c>
      <c r="I13" s="553">
        <v>0.09</v>
      </c>
      <c r="J13" s="588">
        <v>0.03</v>
      </c>
      <c r="K13" s="588">
        <v>0.04</v>
      </c>
      <c r="L13" s="588">
        <v>0.01</v>
      </c>
      <c r="M13" s="553">
        <v>0.05</v>
      </c>
      <c r="O13" s="147" t="s">
        <v>592</v>
      </c>
      <c r="P13" s="585" t="str">
        <f>IF('Shoulder-Right'!T17="","",'Shoulder-Right'!T17)</f>
        <v/>
      </c>
      <c r="Q13" s="585" t="str">
        <f t="shared" si="1"/>
        <v/>
      </c>
      <c r="R13" s="194">
        <f>IF(Q13="",0,VLOOKUP(Q13,$A$3:$N$183,12))</f>
        <v>0</v>
      </c>
      <c r="T13" s="147" t="s">
        <v>1596</v>
      </c>
      <c r="U13" s="585" t="str">
        <f>IF('Shoulder-Right'!V17="","",'Shoulder-Right'!V17)</f>
        <v/>
      </c>
      <c r="V13" s="585" t="str">
        <f>IF(U13="","",ROUND(U13,0))</f>
        <v/>
      </c>
      <c r="W13" s="194">
        <f>IF(V13="",0,VLOOKUP(V13,$A$3:$N$183,12))</f>
        <v>0</v>
      </c>
      <c r="Y13" s="147" t="s">
        <v>592</v>
      </c>
      <c r="Z13" s="585" t="str">
        <f>IF('Shoulder-Left'!T17="","",'Shoulder-Left'!T17)</f>
        <v/>
      </c>
      <c r="AA13" s="585" t="str">
        <f t="shared" si="0"/>
        <v/>
      </c>
      <c r="AB13" s="194">
        <f>IF(AA13="",0,VLOOKUP(AA13,$A$3:$N$183,12))</f>
        <v>0</v>
      </c>
      <c r="AC13" s="62"/>
      <c r="AD13" s="147" t="s">
        <v>1596</v>
      </c>
      <c r="AE13" s="585" t="str">
        <f>IF('Shoulder-Left'!V17="","",'Shoulder-Left'!V17)</f>
        <v/>
      </c>
      <c r="AF13" s="585" t="str">
        <f>IF(AE13="","",ROUND(AE13,0))</f>
        <v/>
      </c>
      <c r="AG13" s="194">
        <f>IF(AF13="",0,VLOOKUP(AF13,$A$3:$N$183,12))</f>
        <v>0</v>
      </c>
    </row>
    <row r="14" spans="1:93" ht="15" customHeight="1" x14ac:dyDescent="0.3">
      <c r="A14" s="50">
        <v>11</v>
      </c>
      <c r="B14" s="553">
        <v>9.7000000000000003E-2</v>
      </c>
      <c r="C14" s="553">
        <v>0.11700000000000001</v>
      </c>
      <c r="D14" s="553">
        <v>0.01</v>
      </c>
      <c r="E14" s="553">
        <v>0.151</v>
      </c>
      <c r="F14" s="553">
        <v>5.8000000000000003E-2</v>
      </c>
      <c r="G14" s="553">
        <v>6.8000000000000005E-2</v>
      </c>
      <c r="H14" s="553">
        <v>0.01</v>
      </c>
      <c r="I14" s="553">
        <v>9.0999999999999998E-2</v>
      </c>
      <c r="J14" s="588">
        <v>0.03</v>
      </c>
      <c r="K14" s="588">
        <v>0.04</v>
      </c>
      <c r="L14" s="588">
        <v>0.01</v>
      </c>
      <c r="M14" s="553">
        <v>0.05</v>
      </c>
      <c r="O14" s="147" t="s">
        <v>1617</v>
      </c>
      <c r="P14" s="585" t="str">
        <f>IF('Shoulder-Right'!T18="","",'Shoulder-Right'!T18)</f>
        <v/>
      </c>
      <c r="Q14" s="585" t="str">
        <f t="shared" si="1"/>
        <v/>
      </c>
      <c r="R14" s="194">
        <f>IF(Q14="",0,VLOOKUP(Q14,$A$3:$N$183,13))</f>
        <v>0</v>
      </c>
      <c r="T14" s="147"/>
      <c r="U14" s="147"/>
      <c r="V14" s="147"/>
      <c r="W14" s="147"/>
      <c r="Y14" s="147" t="s">
        <v>1617</v>
      </c>
      <c r="Z14" s="585" t="str">
        <f>IF('Shoulder-Left'!T18="","",'Shoulder-Left'!T18)</f>
        <v/>
      </c>
      <c r="AA14" s="585" t="str">
        <f t="shared" si="0"/>
        <v/>
      </c>
      <c r="AB14" s="194">
        <f>IF(AA14="",0,VLOOKUP(AA14,$A$3:$N$183,13))</f>
        <v>0</v>
      </c>
      <c r="AC14" s="62"/>
      <c r="AD14" s="147"/>
      <c r="AE14" s="147"/>
      <c r="AF14" s="147"/>
      <c r="AG14" s="147"/>
    </row>
    <row r="15" spans="1:93" ht="15" customHeight="1" x14ac:dyDescent="0.3">
      <c r="A15" s="50">
        <v>12</v>
      </c>
      <c r="B15" s="553">
        <v>9.4E-2</v>
      </c>
      <c r="C15" s="553">
        <v>0.114</v>
      </c>
      <c r="D15" s="553">
        <v>0.01</v>
      </c>
      <c r="E15" s="553">
        <v>0.152</v>
      </c>
      <c r="F15" s="611">
        <v>5.6000000000000001E-2</v>
      </c>
      <c r="G15" s="553">
        <v>6.6000000000000003E-2</v>
      </c>
      <c r="H15" s="553">
        <v>0.01</v>
      </c>
      <c r="I15" s="553">
        <v>9.1999999999999998E-2</v>
      </c>
      <c r="J15" s="588">
        <v>0.03</v>
      </c>
      <c r="K15" s="588">
        <v>0.04</v>
      </c>
      <c r="L15" s="588">
        <v>0.01</v>
      </c>
      <c r="M15" s="553">
        <v>0.05</v>
      </c>
    </row>
    <row r="16" spans="1:93" ht="15" customHeight="1" x14ac:dyDescent="0.3">
      <c r="A16" s="50">
        <v>13</v>
      </c>
      <c r="B16" s="553">
        <v>9.0999999999999998E-2</v>
      </c>
      <c r="C16" s="553">
        <v>0.111</v>
      </c>
      <c r="D16" s="553">
        <v>0.01</v>
      </c>
      <c r="E16" s="553">
        <v>0.153</v>
      </c>
      <c r="F16" s="553">
        <v>5.3999999999999999E-2</v>
      </c>
      <c r="G16" s="553">
        <v>6.4000000000000001E-2</v>
      </c>
      <c r="H16" s="553">
        <v>0.01</v>
      </c>
      <c r="I16" s="553">
        <v>9.2999999999999999E-2</v>
      </c>
      <c r="J16" s="588">
        <v>0.03</v>
      </c>
      <c r="K16" s="588">
        <v>0.04</v>
      </c>
      <c r="L16" s="588">
        <v>0.01</v>
      </c>
      <c r="M16" s="553">
        <v>0.05</v>
      </c>
    </row>
    <row r="17" spans="1:23" ht="15" customHeight="1" x14ac:dyDescent="0.3">
      <c r="A17" s="50">
        <v>14</v>
      </c>
      <c r="B17" s="553">
        <v>8.7999999999999995E-2</v>
      </c>
      <c r="C17" s="553">
        <v>0.108</v>
      </c>
      <c r="D17" s="553">
        <v>0.01</v>
      </c>
      <c r="E17" s="553">
        <v>0.154</v>
      </c>
      <c r="F17" s="553">
        <v>5.1999999999999998E-2</v>
      </c>
      <c r="G17" s="553">
        <v>6.2E-2</v>
      </c>
      <c r="H17" s="553">
        <v>0.01</v>
      </c>
      <c r="I17" s="553">
        <v>9.4E-2</v>
      </c>
      <c r="J17" s="588">
        <v>0.03</v>
      </c>
      <c r="K17" s="588">
        <v>0.04</v>
      </c>
      <c r="L17" s="588">
        <v>0.01</v>
      </c>
      <c r="M17" s="553">
        <v>0.05</v>
      </c>
    </row>
    <row r="18" spans="1:23" ht="15" customHeight="1" x14ac:dyDescent="0.3">
      <c r="A18" s="50">
        <v>15</v>
      </c>
      <c r="B18" s="553">
        <v>8.5000000000000006E-2</v>
      </c>
      <c r="C18" s="553">
        <v>0.105</v>
      </c>
      <c r="D18" s="553">
        <v>0.01</v>
      </c>
      <c r="E18" s="553">
        <v>0.155</v>
      </c>
      <c r="F18" s="553">
        <v>0.05</v>
      </c>
      <c r="G18" s="553">
        <v>0.06</v>
      </c>
      <c r="H18" s="553">
        <v>0.01</v>
      </c>
      <c r="I18" s="553">
        <v>9.5000000000000001E-2</v>
      </c>
      <c r="J18" s="588">
        <v>0.03</v>
      </c>
      <c r="K18" s="588">
        <v>0.04</v>
      </c>
      <c r="L18" s="588">
        <v>0.01</v>
      </c>
      <c r="M18" s="553">
        <v>0.05</v>
      </c>
    </row>
    <row r="19" spans="1:23" ht="15" customHeight="1" x14ac:dyDescent="0.3">
      <c r="A19" s="50">
        <v>16</v>
      </c>
      <c r="B19" s="553">
        <v>8.2000000000000003E-2</v>
      </c>
      <c r="C19" s="553">
        <v>0.10199999999999999</v>
      </c>
      <c r="D19" s="553">
        <v>0.01</v>
      </c>
      <c r="E19" s="553">
        <v>0.156</v>
      </c>
      <c r="F19" s="553">
        <v>4.8000000000000001E-2</v>
      </c>
      <c r="G19" s="611">
        <v>5.8000000000000003E-2</v>
      </c>
      <c r="H19" s="553">
        <v>0.01</v>
      </c>
      <c r="I19" s="611">
        <v>9.6000000000000002E-2</v>
      </c>
      <c r="J19" s="588">
        <v>0.03</v>
      </c>
      <c r="K19" s="588">
        <v>0.04</v>
      </c>
      <c r="L19" s="588">
        <v>0.01</v>
      </c>
      <c r="M19" s="553">
        <v>0.05</v>
      </c>
    </row>
    <row r="20" spans="1:23" ht="15" customHeight="1" x14ac:dyDescent="0.3">
      <c r="A20" s="50">
        <v>17</v>
      </c>
      <c r="B20" s="553">
        <v>7.9000000000000001E-2</v>
      </c>
      <c r="C20" s="553">
        <v>9.9000000000000005E-2</v>
      </c>
      <c r="D20" s="553">
        <v>0.01</v>
      </c>
      <c r="E20" s="553">
        <v>0.157</v>
      </c>
      <c r="F20" s="553">
        <v>4.5999999999999999E-2</v>
      </c>
      <c r="G20" s="553">
        <v>5.6000000000000001E-2</v>
      </c>
      <c r="H20" s="553">
        <v>0.01</v>
      </c>
      <c r="I20" s="688">
        <v>9.7000000000000003E-2</v>
      </c>
      <c r="J20" s="588">
        <v>0.03</v>
      </c>
      <c r="K20" s="588">
        <v>0.04</v>
      </c>
      <c r="L20" s="588">
        <v>0.01</v>
      </c>
      <c r="M20" s="553">
        <v>0.05</v>
      </c>
    </row>
    <row r="21" spans="1:23" ht="15.75" customHeight="1" x14ac:dyDescent="0.3">
      <c r="A21" s="50">
        <v>18</v>
      </c>
      <c r="B21" s="553">
        <v>7.5999999999999998E-2</v>
      </c>
      <c r="C21" s="611">
        <v>9.6000000000000002E-2</v>
      </c>
      <c r="D21" s="553">
        <v>0.01</v>
      </c>
      <c r="E21" s="553">
        <v>0.158</v>
      </c>
      <c r="F21" s="553">
        <v>4.3999999999999997E-2</v>
      </c>
      <c r="G21" s="553">
        <v>5.3999999999999999E-2</v>
      </c>
      <c r="H21" s="553">
        <v>0.01</v>
      </c>
      <c r="I21" s="553">
        <v>9.8000000000000004E-2</v>
      </c>
      <c r="J21" s="588">
        <v>0.03</v>
      </c>
      <c r="K21" s="588">
        <v>0.04</v>
      </c>
      <c r="L21" s="588">
        <v>0.01</v>
      </c>
      <c r="M21" s="553">
        <v>0.05</v>
      </c>
    </row>
    <row r="22" spans="1:23" ht="15" customHeight="1" x14ac:dyDescent="0.3">
      <c r="A22" s="50">
        <v>19</v>
      </c>
      <c r="B22" s="553">
        <v>7.2999999999999995E-2</v>
      </c>
      <c r="C22" s="553">
        <v>9.2999999999999999E-2</v>
      </c>
      <c r="D22" s="553">
        <v>0.01</v>
      </c>
      <c r="E22" s="553">
        <v>0.159</v>
      </c>
      <c r="F22" s="553">
        <v>4.2000000000000003E-2</v>
      </c>
      <c r="G22" s="553">
        <v>5.1999999999999998E-2</v>
      </c>
      <c r="H22" s="553">
        <v>0.01</v>
      </c>
      <c r="I22" s="553">
        <v>9.9000000000000005E-2</v>
      </c>
      <c r="J22" s="588">
        <v>0.03</v>
      </c>
      <c r="K22" s="588">
        <v>0.04</v>
      </c>
      <c r="L22" s="588">
        <v>0.01</v>
      </c>
      <c r="M22" s="553">
        <v>0.05</v>
      </c>
    </row>
    <row r="23" spans="1:23" ht="15" customHeight="1" x14ac:dyDescent="0.3">
      <c r="A23" s="50">
        <v>20</v>
      </c>
      <c r="B23" s="553">
        <v>7.0000000000000007E-2</v>
      </c>
      <c r="C23" s="553">
        <v>0.09</v>
      </c>
      <c r="D23" s="553">
        <v>0.01</v>
      </c>
      <c r="E23" s="553">
        <v>0.16</v>
      </c>
      <c r="F23" s="553">
        <v>0.04</v>
      </c>
      <c r="G23" s="553">
        <v>0.05</v>
      </c>
      <c r="H23" s="553">
        <v>0.01</v>
      </c>
      <c r="I23" s="553">
        <v>0.1</v>
      </c>
      <c r="J23" s="588">
        <v>0.03</v>
      </c>
      <c r="K23" s="588">
        <v>0.04</v>
      </c>
      <c r="L23" s="588">
        <v>0.01</v>
      </c>
      <c r="M23" s="553">
        <v>0.05</v>
      </c>
    </row>
    <row r="24" spans="1:23" ht="15" customHeight="1" x14ac:dyDescent="0.3">
      <c r="A24" s="50">
        <v>21</v>
      </c>
      <c r="B24" s="553">
        <v>6.9000000000000006E-2</v>
      </c>
      <c r="C24" s="553">
        <v>0.09</v>
      </c>
      <c r="D24" s="553">
        <v>0.01</v>
      </c>
      <c r="E24" s="553">
        <v>0.16</v>
      </c>
      <c r="F24" s="553">
        <v>0.04</v>
      </c>
      <c r="G24" s="553">
        <v>0.05</v>
      </c>
      <c r="H24" s="553">
        <v>0.01</v>
      </c>
      <c r="I24" s="553">
        <v>0.1</v>
      </c>
      <c r="J24" s="588">
        <v>2.9000000000000001E-2</v>
      </c>
      <c r="K24" s="588">
        <v>0.04</v>
      </c>
      <c r="L24" s="588">
        <v>0.01</v>
      </c>
      <c r="M24" s="553">
        <v>0.05</v>
      </c>
    </row>
    <row r="25" spans="1:23" ht="15" customHeight="1" x14ac:dyDescent="0.3">
      <c r="A25" s="50">
        <v>22</v>
      </c>
      <c r="B25" s="553">
        <v>6.8000000000000005E-2</v>
      </c>
      <c r="C25" s="553">
        <v>0.09</v>
      </c>
      <c r="D25" s="553">
        <v>0.01</v>
      </c>
      <c r="E25" s="553">
        <v>0.16</v>
      </c>
      <c r="F25" s="553">
        <v>0.04</v>
      </c>
      <c r="G25" s="553">
        <v>0.05</v>
      </c>
      <c r="H25" s="553">
        <v>0.01</v>
      </c>
      <c r="I25" s="553">
        <v>0.1</v>
      </c>
      <c r="J25" s="588">
        <v>2.8000000000000001E-2</v>
      </c>
      <c r="K25" s="588">
        <v>0.04</v>
      </c>
      <c r="L25" s="588">
        <v>0.01</v>
      </c>
      <c r="M25" s="553">
        <v>0.05</v>
      </c>
    </row>
    <row r="26" spans="1:23" ht="15" customHeight="1" x14ac:dyDescent="0.3">
      <c r="A26" s="50">
        <v>23</v>
      </c>
      <c r="B26" s="611">
        <v>6.7000000000000004E-2</v>
      </c>
      <c r="C26" s="553">
        <v>0.09</v>
      </c>
      <c r="D26" s="553">
        <v>0.01</v>
      </c>
      <c r="E26" s="553">
        <v>0.16</v>
      </c>
      <c r="F26" s="553">
        <v>0.04</v>
      </c>
      <c r="G26" s="553">
        <v>0.05</v>
      </c>
      <c r="H26" s="553">
        <v>0.01</v>
      </c>
      <c r="I26" s="553">
        <v>0.1</v>
      </c>
      <c r="J26" s="588">
        <v>2.7E-2</v>
      </c>
      <c r="K26" s="588">
        <v>0.04</v>
      </c>
      <c r="L26" s="588">
        <v>0.01</v>
      </c>
      <c r="M26" s="553">
        <v>0.05</v>
      </c>
    </row>
    <row r="27" spans="1:23" ht="15" customHeight="1" x14ac:dyDescent="0.3">
      <c r="A27" s="50">
        <v>24</v>
      </c>
      <c r="B27" s="553">
        <v>6.6000000000000003E-2</v>
      </c>
      <c r="C27" s="553">
        <v>0.09</v>
      </c>
      <c r="D27" s="553">
        <v>0.01</v>
      </c>
      <c r="E27" s="553">
        <v>0.16</v>
      </c>
      <c r="F27" s="553">
        <v>0.04</v>
      </c>
      <c r="G27" s="553">
        <v>0.05</v>
      </c>
      <c r="H27" s="553">
        <v>0.01</v>
      </c>
      <c r="I27" s="553">
        <v>0.1</v>
      </c>
      <c r="J27" s="588">
        <v>2.5999999999999999E-2</v>
      </c>
      <c r="K27" s="588">
        <v>0.04</v>
      </c>
      <c r="L27" s="588">
        <v>0.01</v>
      </c>
      <c r="M27" s="553">
        <v>0.05</v>
      </c>
    </row>
    <row r="28" spans="1:23" ht="15" customHeight="1" x14ac:dyDescent="0.3">
      <c r="A28" s="50">
        <v>25</v>
      </c>
      <c r="B28" s="553">
        <v>6.5000000000000002E-2</v>
      </c>
      <c r="C28" s="553">
        <v>0.09</v>
      </c>
      <c r="D28" s="553">
        <v>0.01</v>
      </c>
      <c r="E28" s="553">
        <v>0.16</v>
      </c>
      <c r="F28" s="553">
        <v>0.04</v>
      </c>
      <c r="G28" s="553">
        <v>0.05</v>
      </c>
      <c r="H28" s="553">
        <v>0.01</v>
      </c>
      <c r="I28" s="553">
        <v>0.1</v>
      </c>
      <c r="J28" s="588">
        <v>2.5000000000000001E-2</v>
      </c>
      <c r="K28" s="588">
        <v>0.04</v>
      </c>
      <c r="L28" s="588">
        <v>0.01</v>
      </c>
      <c r="M28" s="553">
        <v>0.05</v>
      </c>
    </row>
    <row r="29" spans="1:23" ht="15" customHeight="1" x14ac:dyDescent="0.3">
      <c r="A29" s="50">
        <v>26</v>
      </c>
      <c r="B29" s="553">
        <v>6.4000000000000001E-2</v>
      </c>
      <c r="C29" s="553">
        <v>0.09</v>
      </c>
      <c r="D29" s="553">
        <v>0.01</v>
      </c>
      <c r="E29" s="553">
        <v>0.16</v>
      </c>
      <c r="F29" s="553">
        <v>0.04</v>
      </c>
      <c r="G29" s="553">
        <v>0.05</v>
      </c>
      <c r="H29" s="553">
        <v>0.01</v>
      </c>
      <c r="I29" s="553">
        <v>0.1</v>
      </c>
      <c r="J29" s="588">
        <v>2.4E-2</v>
      </c>
      <c r="K29" s="588">
        <v>0.04</v>
      </c>
      <c r="L29" s="588">
        <v>0.01</v>
      </c>
      <c r="M29" s="553">
        <v>0.05</v>
      </c>
      <c r="R29" s="95"/>
      <c r="U29" s="62"/>
      <c r="V29" s="62"/>
      <c r="W29" s="95"/>
    </row>
    <row r="30" spans="1:23" ht="15" customHeight="1" x14ac:dyDescent="0.3">
      <c r="A30" s="50">
        <v>27</v>
      </c>
      <c r="B30" s="553">
        <v>6.3E-2</v>
      </c>
      <c r="C30" s="553">
        <v>0.09</v>
      </c>
      <c r="D30" s="553">
        <v>0.01</v>
      </c>
      <c r="E30" s="553">
        <v>0.16</v>
      </c>
      <c r="F30" s="553">
        <v>0.04</v>
      </c>
      <c r="G30" s="553">
        <v>0.05</v>
      </c>
      <c r="H30" s="553">
        <v>0.01</v>
      </c>
      <c r="I30" s="553">
        <v>0.1</v>
      </c>
      <c r="J30" s="588">
        <v>2.3E-2</v>
      </c>
      <c r="K30" s="588">
        <v>0.04</v>
      </c>
      <c r="L30" s="588">
        <v>0.01</v>
      </c>
      <c r="M30" s="553">
        <v>0.05</v>
      </c>
      <c r="R30" s="95"/>
      <c r="U30" s="62"/>
      <c r="V30" s="62"/>
      <c r="W30" s="95"/>
    </row>
    <row r="31" spans="1:23" ht="15" customHeight="1" x14ac:dyDescent="0.3">
      <c r="A31" s="50">
        <v>28</v>
      </c>
      <c r="B31" s="553">
        <v>6.2E-2</v>
      </c>
      <c r="C31" s="553">
        <v>0.09</v>
      </c>
      <c r="D31" s="553">
        <v>0.01</v>
      </c>
      <c r="E31" s="553">
        <v>0.16</v>
      </c>
      <c r="F31" s="553">
        <v>0.04</v>
      </c>
      <c r="G31" s="553">
        <v>0.05</v>
      </c>
      <c r="H31" s="553">
        <v>0.01</v>
      </c>
      <c r="I31" s="553">
        <v>0.1</v>
      </c>
      <c r="J31" s="588">
        <v>2.1999999999999999E-2</v>
      </c>
      <c r="K31" s="588">
        <v>0.04</v>
      </c>
      <c r="L31" s="588">
        <v>0.01</v>
      </c>
      <c r="M31" s="553">
        <v>0.05</v>
      </c>
      <c r="R31" s="95"/>
    </row>
    <row r="32" spans="1:23" ht="15" customHeight="1" x14ac:dyDescent="0.3">
      <c r="A32" s="50">
        <v>29</v>
      </c>
      <c r="B32" s="553">
        <v>6.0999999999999999E-2</v>
      </c>
      <c r="C32" s="553">
        <v>0.09</v>
      </c>
      <c r="D32" s="553">
        <v>0.01</v>
      </c>
      <c r="E32" s="553">
        <v>0.16</v>
      </c>
      <c r="F32" s="553">
        <v>0.04</v>
      </c>
      <c r="G32" s="553">
        <v>0.05</v>
      </c>
      <c r="H32" s="553">
        <v>0.01</v>
      </c>
      <c r="I32" s="553">
        <v>0.1</v>
      </c>
      <c r="J32" s="588">
        <v>2.1000000000000001E-2</v>
      </c>
      <c r="K32" s="588">
        <v>0.04</v>
      </c>
      <c r="L32" s="588">
        <v>0.01</v>
      </c>
      <c r="M32" s="553">
        <v>0.05</v>
      </c>
    </row>
    <row r="33" spans="1:23" ht="15" customHeight="1" x14ac:dyDescent="0.3">
      <c r="A33" s="50">
        <v>30</v>
      </c>
      <c r="B33" s="553">
        <v>0.06</v>
      </c>
      <c r="C33" s="553">
        <v>0.09</v>
      </c>
      <c r="D33" s="553">
        <v>0.01</v>
      </c>
      <c r="E33" s="553">
        <v>0.16</v>
      </c>
      <c r="F33" s="553">
        <v>0.04</v>
      </c>
      <c r="G33" s="553">
        <v>0.05</v>
      </c>
      <c r="H33" s="553">
        <v>0.01</v>
      </c>
      <c r="I33" s="553">
        <v>0.1</v>
      </c>
      <c r="J33" s="588">
        <v>0.02</v>
      </c>
      <c r="K33" s="588">
        <v>0.04</v>
      </c>
      <c r="L33" s="588">
        <v>0.01</v>
      </c>
      <c r="M33" s="553">
        <v>0.05</v>
      </c>
      <c r="R33" s="95"/>
      <c r="U33" s="62"/>
      <c r="V33" s="62"/>
      <c r="W33" s="95"/>
    </row>
    <row r="34" spans="1:23" ht="15" customHeight="1" x14ac:dyDescent="0.3">
      <c r="A34" s="50">
        <v>31</v>
      </c>
      <c r="B34" s="553">
        <v>0.06</v>
      </c>
      <c r="C34" s="553">
        <v>0.09</v>
      </c>
      <c r="D34" s="553">
        <v>0.01</v>
      </c>
      <c r="E34" s="553">
        <v>0.161</v>
      </c>
      <c r="F34" s="553">
        <v>0.04</v>
      </c>
      <c r="G34" s="553">
        <v>5.0999999999999997E-2</v>
      </c>
      <c r="H34" s="553">
        <v>8.9999999999999993E-3</v>
      </c>
      <c r="I34" s="553">
        <v>0.1</v>
      </c>
      <c r="J34" s="588">
        <v>0.02</v>
      </c>
      <c r="K34" s="588">
        <v>0.04</v>
      </c>
      <c r="L34" s="588">
        <v>0.01</v>
      </c>
      <c r="M34" s="553">
        <v>5.0999999999999997E-2</v>
      </c>
      <c r="R34" s="95"/>
      <c r="U34" s="62"/>
      <c r="V34" s="62"/>
      <c r="W34" s="95"/>
    </row>
    <row r="35" spans="1:23" ht="15" customHeight="1" x14ac:dyDescent="0.3">
      <c r="A35" s="50">
        <v>32</v>
      </c>
      <c r="B35" s="553">
        <v>0.06</v>
      </c>
      <c r="C35" s="553">
        <v>0.09</v>
      </c>
      <c r="D35" s="553">
        <v>0.01</v>
      </c>
      <c r="E35" s="553">
        <v>0.16200000000000001</v>
      </c>
      <c r="F35" s="553">
        <v>0.04</v>
      </c>
      <c r="G35" s="553">
        <v>5.1999999999999998E-2</v>
      </c>
      <c r="H35" s="553">
        <v>8.0000000000000002E-3</v>
      </c>
      <c r="I35" s="553">
        <v>0.1</v>
      </c>
      <c r="J35" s="588">
        <v>0.02</v>
      </c>
      <c r="K35" s="588">
        <v>0.04</v>
      </c>
      <c r="L35" s="588">
        <v>0.01</v>
      </c>
      <c r="M35" s="553">
        <v>5.1999999999999998E-2</v>
      </c>
      <c r="R35" s="95"/>
    </row>
    <row r="36" spans="1:23" ht="15" customHeight="1" x14ac:dyDescent="0.3">
      <c r="A36" s="50">
        <v>33</v>
      </c>
      <c r="B36" s="553">
        <v>0.06</v>
      </c>
      <c r="C36" s="553">
        <v>0.09</v>
      </c>
      <c r="D36" s="553">
        <v>0.01</v>
      </c>
      <c r="E36" s="553">
        <v>0.16300000000000001</v>
      </c>
      <c r="F36" s="553">
        <v>0.04</v>
      </c>
      <c r="G36" s="553">
        <v>5.2999999999999999E-2</v>
      </c>
      <c r="H36" s="553">
        <v>7.0000000000000001E-3</v>
      </c>
      <c r="I36" s="553">
        <v>0.1</v>
      </c>
      <c r="J36" s="588">
        <v>0.02</v>
      </c>
      <c r="K36" s="588">
        <v>0.04</v>
      </c>
      <c r="L36" s="588">
        <v>0.01</v>
      </c>
      <c r="M36" s="553">
        <v>5.2999999999999999E-2</v>
      </c>
    </row>
    <row r="37" spans="1:23" ht="15" customHeight="1" x14ac:dyDescent="0.3">
      <c r="A37" s="50">
        <v>34</v>
      </c>
      <c r="B37" s="553">
        <v>0.06</v>
      </c>
      <c r="C37" s="553">
        <v>0.09</v>
      </c>
      <c r="D37" s="553">
        <v>0.01</v>
      </c>
      <c r="E37" s="553">
        <v>0.16400000000000001</v>
      </c>
      <c r="F37" s="553">
        <v>0.04</v>
      </c>
      <c r="G37" s="553">
        <v>5.3999999999999999E-2</v>
      </c>
      <c r="H37" s="611">
        <v>6.0000000000000001E-3</v>
      </c>
      <c r="I37" s="553">
        <v>0.1</v>
      </c>
      <c r="J37" s="588">
        <v>0.02</v>
      </c>
      <c r="K37" s="588">
        <v>0.04</v>
      </c>
      <c r="L37" s="588">
        <v>0.01</v>
      </c>
      <c r="M37" s="553">
        <v>5.3999999999999999E-2</v>
      </c>
    </row>
    <row r="38" spans="1:23" ht="15" customHeight="1" x14ac:dyDescent="0.3">
      <c r="A38" s="50">
        <v>35</v>
      </c>
      <c r="B38" s="553">
        <v>0.06</v>
      </c>
      <c r="C38" s="553">
        <v>0.09</v>
      </c>
      <c r="D38" s="553">
        <v>0.01</v>
      </c>
      <c r="E38" s="553">
        <v>0.16500000000000001</v>
      </c>
      <c r="F38" s="553">
        <v>0.04</v>
      </c>
      <c r="G38" s="553">
        <v>5.5E-2</v>
      </c>
      <c r="H38" s="553">
        <v>5.0000000000000001E-3</v>
      </c>
      <c r="I38" s="553">
        <v>0.1</v>
      </c>
      <c r="J38" s="588">
        <v>0.02</v>
      </c>
      <c r="K38" s="588">
        <v>0.04</v>
      </c>
      <c r="L38" s="588">
        <v>0.01</v>
      </c>
      <c r="M38" s="553">
        <v>5.5E-2</v>
      </c>
      <c r="R38" s="95"/>
      <c r="U38" s="62"/>
      <c r="V38" s="62"/>
      <c r="W38" s="95"/>
    </row>
    <row r="39" spans="1:23" ht="15" customHeight="1" x14ac:dyDescent="0.3">
      <c r="A39" s="50">
        <v>36</v>
      </c>
      <c r="B39" s="553">
        <v>0.06</v>
      </c>
      <c r="C39" s="553">
        <v>0.09</v>
      </c>
      <c r="D39" s="553">
        <v>0.01</v>
      </c>
      <c r="E39" s="553">
        <v>0.16600000000000001</v>
      </c>
      <c r="F39" s="553">
        <v>0.04</v>
      </c>
      <c r="G39" s="553">
        <v>5.6000000000000001E-2</v>
      </c>
      <c r="H39" s="553">
        <v>4.0000000000000001E-3</v>
      </c>
      <c r="I39" s="553">
        <v>0.1</v>
      </c>
      <c r="J39" s="588">
        <v>0.02</v>
      </c>
      <c r="K39" s="588">
        <v>0.04</v>
      </c>
      <c r="L39" s="588">
        <v>0.01</v>
      </c>
      <c r="M39" s="553">
        <v>5.6000000000000001E-2</v>
      </c>
      <c r="R39" s="95"/>
      <c r="U39" s="62"/>
      <c r="V39" s="62"/>
      <c r="W39" s="95"/>
    </row>
    <row r="40" spans="1:23" ht="15" customHeight="1" x14ac:dyDescent="0.3">
      <c r="A40" s="50">
        <v>37</v>
      </c>
      <c r="B40" s="553">
        <v>0.06</v>
      </c>
      <c r="C40" s="553">
        <v>0.09</v>
      </c>
      <c r="D40" s="553">
        <v>0.01</v>
      </c>
      <c r="E40" s="553">
        <v>0.16700000000000001</v>
      </c>
      <c r="F40" s="553">
        <v>0.04</v>
      </c>
      <c r="G40" s="553">
        <v>5.7000000000000002E-2</v>
      </c>
      <c r="H40" s="553">
        <v>3.0000000000000001E-3</v>
      </c>
      <c r="I40" s="553">
        <v>0.1</v>
      </c>
      <c r="J40" s="588">
        <v>0.02</v>
      </c>
      <c r="K40" s="588">
        <v>0.04</v>
      </c>
      <c r="L40" s="588">
        <v>0.01</v>
      </c>
      <c r="M40" s="553">
        <v>5.7000000000000002E-2</v>
      </c>
      <c r="R40" s="95"/>
    </row>
    <row r="41" spans="1:23" ht="15" customHeight="1" x14ac:dyDescent="0.3">
      <c r="A41" s="50">
        <v>38</v>
      </c>
      <c r="B41" s="553">
        <v>0.06</v>
      </c>
      <c r="C41" s="553">
        <v>0.09</v>
      </c>
      <c r="D41" s="553">
        <v>0.01</v>
      </c>
      <c r="E41" s="611">
        <v>0.16800000000000001</v>
      </c>
      <c r="F41" s="553">
        <v>0.04</v>
      </c>
      <c r="G41" s="553">
        <v>5.8000000000000003E-2</v>
      </c>
      <c r="H41" s="553">
        <v>2E-3</v>
      </c>
      <c r="I41" s="553">
        <v>0.1</v>
      </c>
      <c r="J41" s="588">
        <v>0.02</v>
      </c>
      <c r="K41" s="588">
        <v>0.04</v>
      </c>
      <c r="L41" s="588">
        <v>0.01</v>
      </c>
      <c r="M41" s="611">
        <v>5.8000000000000003E-2</v>
      </c>
    </row>
    <row r="42" spans="1:23" ht="15" customHeight="1" x14ac:dyDescent="0.3">
      <c r="A42" s="50">
        <v>39</v>
      </c>
      <c r="B42" s="553">
        <v>0.06</v>
      </c>
      <c r="C42" s="553">
        <v>0.09</v>
      </c>
      <c r="D42" s="553">
        <v>0.01</v>
      </c>
      <c r="E42" s="553">
        <v>0.16900000000000001</v>
      </c>
      <c r="F42" s="553">
        <v>0.04</v>
      </c>
      <c r="G42" s="553">
        <v>5.8999999999999997E-2</v>
      </c>
      <c r="H42" s="553">
        <v>1E-3</v>
      </c>
      <c r="I42" s="553">
        <v>0.1</v>
      </c>
      <c r="J42" s="588">
        <v>0.02</v>
      </c>
      <c r="K42" s="588">
        <v>0.04</v>
      </c>
      <c r="L42" s="588">
        <v>0.01</v>
      </c>
      <c r="M42" s="553">
        <v>5.8999999999999997E-2</v>
      </c>
      <c r="R42" s="95"/>
      <c r="U42" s="62"/>
      <c r="V42" s="62"/>
      <c r="W42" s="95"/>
    </row>
    <row r="43" spans="1:23" ht="15" customHeight="1" x14ac:dyDescent="0.3">
      <c r="A43" s="50">
        <v>40</v>
      </c>
      <c r="B43" s="553">
        <v>0.06</v>
      </c>
      <c r="C43" s="553">
        <v>0.09</v>
      </c>
      <c r="D43" s="553">
        <v>0.01</v>
      </c>
      <c r="E43" s="553">
        <v>0.17</v>
      </c>
      <c r="F43" s="553">
        <v>0.04</v>
      </c>
      <c r="G43" s="553">
        <v>0.06</v>
      </c>
      <c r="H43" s="553">
        <v>0</v>
      </c>
      <c r="I43" s="553">
        <v>0.1</v>
      </c>
      <c r="J43" s="588">
        <v>0.02</v>
      </c>
      <c r="K43" s="588">
        <v>0.04</v>
      </c>
      <c r="L43" s="588">
        <v>0.01</v>
      </c>
      <c r="M43" s="553">
        <v>0.06</v>
      </c>
      <c r="R43" s="95"/>
      <c r="U43" s="62"/>
      <c r="V43" s="62"/>
      <c r="W43" s="95"/>
    </row>
    <row r="44" spans="1:23" ht="15" customHeight="1" x14ac:dyDescent="0.3">
      <c r="A44" s="50">
        <v>41</v>
      </c>
      <c r="B44" s="553">
        <v>5.8999999999999997E-2</v>
      </c>
      <c r="C44" s="553">
        <v>9.0999999999999998E-2</v>
      </c>
      <c r="D44" s="553">
        <v>8.9999999999999993E-3</v>
      </c>
      <c r="E44" s="553">
        <v>0.17100000000000001</v>
      </c>
      <c r="F44" s="553">
        <v>0.04</v>
      </c>
      <c r="G44" s="553">
        <v>0.06</v>
      </c>
      <c r="H44" s="553">
        <v>0</v>
      </c>
      <c r="I44" s="553">
        <v>0.10100000000000001</v>
      </c>
      <c r="J44" s="588">
        <v>0.02</v>
      </c>
      <c r="K44" s="588">
        <v>0.04</v>
      </c>
      <c r="L44" s="588">
        <v>0.01</v>
      </c>
      <c r="M44" s="553">
        <v>0.06</v>
      </c>
      <c r="R44" s="95"/>
    </row>
    <row r="45" spans="1:23" ht="15" customHeight="1" x14ac:dyDescent="0.3">
      <c r="A45" s="50">
        <v>42</v>
      </c>
      <c r="B45" s="553">
        <v>5.8000000000000003E-2</v>
      </c>
      <c r="C45" s="553">
        <v>9.1999999999999998E-2</v>
      </c>
      <c r="D45" s="553">
        <v>8.0000000000000002E-3</v>
      </c>
      <c r="E45" s="553">
        <v>0.17199999999999999</v>
      </c>
      <c r="F45" s="553">
        <v>0.04</v>
      </c>
      <c r="G45" s="553">
        <v>0.06</v>
      </c>
      <c r="H45" s="553">
        <v>0</v>
      </c>
      <c r="I45" s="553">
        <v>0.10199999999999999</v>
      </c>
      <c r="J45" s="588">
        <v>0.02</v>
      </c>
      <c r="K45" s="588">
        <v>0.04</v>
      </c>
      <c r="L45" s="588">
        <v>0.01</v>
      </c>
      <c r="M45" s="553">
        <v>0.06</v>
      </c>
    </row>
    <row r="46" spans="1:23" ht="15" customHeight="1" x14ac:dyDescent="0.3">
      <c r="A46" s="50">
        <v>43</v>
      </c>
      <c r="B46" s="553">
        <v>5.7000000000000002E-2</v>
      </c>
      <c r="C46" s="553">
        <v>9.2999999999999999E-2</v>
      </c>
      <c r="D46" s="553">
        <v>7.0000000000000001E-3</v>
      </c>
      <c r="E46" s="553">
        <v>0.17299999999999999</v>
      </c>
      <c r="F46" s="553">
        <v>0.04</v>
      </c>
      <c r="G46" s="553">
        <v>0.06</v>
      </c>
      <c r="H46" s="553">
        <v>0</v>
      </c>
      <c r="I46" s="553">
        <v>0.10299999999999999</v>
      </c>
      <c r="J46" s="588">
        <v>0.02</v>
      </c>
      <c r="K46" s="588">
        <v>0.04</v>
      </c>
      <c r="L46" s="588">
        <v>0.01</v>
      </c>
      <c r="M46" s="553">
        <v>0.06</v>
      </c>
      <c r="R46" s="95"/>
      <c r="U46" s="62"/>
      <c r="V46" s="62"/>
      <c r="W46" s="95"/>
    </row>
    <row r="47" spans="1:23" ht="15" customHeight="1" x14ac:dyDescent="0.3">
      <c r="A47" s="50">
        <v>44</v>
      </c>
      <c r="B47" s="553">
        <v>5.6000000000000001E-2</v>
      </c>
      <c r="C47" s="553">
        <v>9.4E-2</v>
      </c>
      <c r="D47" s="553">
        <v>6.0000000000000001E-3</v>
      </c>
      <c r="E47" s="553">
        <v>0.17399999999999999</v>
      </c>
      <c r="F47" s="553">
        <v>0.04</v>
      </c>
      <c r="G47" s="553">
        <v>0.06</v>
      </c>
      <c r="H47" s="553">
        <v>0</v>
      </c>
      <c r="I47" s="553">
        <v>0.104</v>
      </c>
      <c r="J47" s="588">
        <v>0.02</v>
      </c>
      <c r="K47" s="588">
        <v>0.04</v>
      </c>
      <c r="L47" s="588">
        <v>0.01</v>
      </c>
      <c r="M47" s="553">
        <v>0.06</v>
      </c>
      <c r="R47" s="95"/>
      <c r="U47" s="62"/>
      <c r="V47" s="62"/>
      <c r="W47" s="95"/>
    </row>
    <row r="48" spans="1:23" ht="15" customHeight="1" x14ac:dyDescent="0.3">
      <c r="A48" s="50">
        <v>45</v>
      </c>
      <c r="B48" s="553">
        <v>5.5E-2</v>
      </c>
      <c r="C48" s="553">
        <v>9.5000000000000001E-2</v>
      </c>
      <c r="D48" s="553">
        <v>5.0000000000000001E-3</v>
      </c>
      <c r="E48" s="553">
        <v>0.17499999999999999</v>
      </c>
      <c r="F48" s="553">
        <v>0.04</v>
      </c>
      <c r="G48" s="553">
        <v>0.06</v>
      </c>
      <c r="H48" s="553">
        <v>0</v>
      </c>
      <c r="I48" s="553">
        <v>0.105</v>
      </c>
      <c r="J48" s="588">
        <v>0.02</v>
      </c>
      <c r="K48" s="588">
        <v>0.04</v>
      </c>
      <c r="L48" s="588">
        <v>0.01</v>
      </c>
      <c r="M48" s="553">
        <v>0.06</v>
      </c>
      <c r="R48" s="95"/>
    </row>
    <row r="49" spans="1:23" ht="15" customHeight="1" x14ac:dyDescent="0.3">
      <c r="A49" s="50">
        <v>46</v>
      </c>
      <c r="B49" s="553">
        <v>5.3999999999999999E-2</v>
      </c>
      <c r="C49" s="553">
        <v>9.6000000000000002E-2</v>
      </c>
      <c r="D49" s="553">
        <v>4.0000000000000001E-3</v>
      </c>
      <c r="E49" s="553">
        <v>0.17599999999999999</v>
      </c>
      <c r="F49" s="553">
        <v>0.04</v>
      </c>
      <c r="G49" s="553">
        <v>0.06</v>
      </c>
      <c r="H49" s="553">
        <v>0</v>
      </c>
      <c r="I49" s="553">
        <v>0.106</v>
      </c>
      <c r="J49" s="588">
        <v>0.02</v>
      </c>
      <c r="K49" s="588">
        <v>0.04</v>
      </c>
      <c r="L49" s="588">
        <v>0.01</v>
      </c>
      <c r="M49" s="553">
        <v>0.06</v>
      </c>
    </row>
    <row r="50" spans="1:23" ht="15" customHeight="1" x14ac:dyDescent="0.3">
      <c r="A50" s="50">
        <v>47</v>
      </c>
      <c r="B50" s="553">
        <v>5.2999999999999999E-2</v>
      </c>
      <c r="C50" s="553">
        <v>9.7000000000000003E-2</v>
      </c>
      <c r="D50" s="553">
        <v>3.0000000000000001E-3</v>
      </c>
      <c r="E50" s="553">
        <v>0.17699999999999999</v>
      </c>
      <c r="F50" s="553">
        <v>0.04</v>
      </c>
      <c r="G50" s="553">
        <v>0.06</v>
      </c>
      <c r="H50" s="553">
        <v>0</v>
      </c>
      <c r="I50" s="553">
        <v>0.107</v>
      </c>
      <c r="J50" s="588">
        <v>0.02</v>
      </c>
      <c r="K50" s="588">
        <v>0.04</v>
      </c>
      <c r="L50" s="588">
        <v>0.01</v>
      </c>
      <c r="M50" s="553">
        <v>0.06</v>
      </c>
    </row>
    <row r="51" spans="1:23" ht="15" customHeight="1" x14ac:dyDescent="0.3">
      <c r="A51" s="50">
        <v>48</v>
      </c>
      <c r="B51" s="553">
        <v>5.1999999999999998E-2</v>
      </c>
      <c r="C51" s="553">
        <v>9.8000000000000004E-2</v>
      </c>
      <c r="D51" s="553">
        <v>2E-3</v>
      </c>
      <c r="E51" s="553">
        <v>0.17799999999999999</v>
      </c>
      <c r="F51" s="553">
        <v>0.04</v>
      </c>
      <c r="G51" s="553">
        <v>0.06</v>
      </c>
      <c r="H51" s="553">
        <v>0</v>
      </c>
      <c r="I51" s="553">
        <v>0.108</v>
      </c>
      <c r="J51" s="588">
        <v>0.02</v>
      </c>
      <c r="K51" s="588">
        <v>0.04</v>
      </c>
      <c r="L51" s="588">
        <v>0.01</v>
      </c>
      <c r="M51" s="553">
        <v>0.06</v>
      </c>
      <c r="R51" s="95"/>
      <c r="U51" s="62"/>
      <c r="V51" s="62"/>
      <c r="W51" s="95"/>
    </row>
    <row r="52" spans="1:23" ht="15" customHeight="1" x14ac:dyDescent="0.3">
      <c r="A52" s="50">
        <v>49</v>
      </c>
      <c r="B52" s="553">
        <v>5.0999999999999997E-2</v>
      </c>
      <c r="C52" s="553">
        <v>9.9000000000000005E-2</v>
      </c>
      <c r="D52" s="553">
        <v>1E-3</v>
      </c>
      <c r="E52" s="553">
        <v>0.17899999999999999</v>
      </c>
      <c r="F52" s="553">
        <v>0.04</v>
      </c>
      <c r="G52" s="553">
        <v>0.06</v>
      </c>
      <c r="H52" s="553">
        <v>0</v>
      </c>
      <c r="I52" s="553">
        <v>0.109</v>
      </c>
      <c r="J52" s="588">
        <v>0.02</v>
      </c>
      <c r="K52" s="588">
        <v>0.04</v>
      </c>
      <c r="L52" s="588">
        <v>0.01</v>
      </c>
      <c r="M52" s="553">
        <v>0.06</v>
      </c>
      <c r="R52" s="95"/>
      <c r="U52" s="62"/>
      <c r="V52" s="62"/>
      <c r="W52" s="95"/>
    </row>
    <row r="53" spans="1:23" ht="15" customHeight="1" x14ac:dyDescent="0.3">
      <c r="A53" s="50">
        <v>50</v>
      </c>
      <c r="B53" s="553">
        <v>0.05</v>
      </c>
      <c r="C53" s="553">
        <v>0.1</v>
      </c>
      <c r="D53" s="553">
        <v>0</v>
      </c>
      <c r="E53" s="553">
        <v>0.18</v>
      </c>
      <c r="F53" s="553">
        <v>0.04</v>
      </c>
      <c r="G53" s="553">
        <v>0.06</v>
      </c>
      <c r="H53" s="553">
        <v>0</v>
      </c>
      <c r="I53" s="553">
        <v>0.11</v>
      </c>
      <c r="J53" s="588">
        <v>0.02</v>
      </c>
      <c r="K53" s="588">
        <v>0.04</v>
      </c>
      <c r="L53" s="588">
        <v>0.01</v>
      </c>
      <c r="M53" s="553">
        <v>0.06</v>
      </c>
      <c r="R53" s="95"/>
    </row>
    <row r="54" spans="1:23" ht="15" customHeight="1" x14ac:dyDescent="0.3">
      <c r="A54" s="50">
        <v>51</v>
      </c>
      <c r="B54" s="553">
        <v>0.05</v>
      </c>
      <c r="C54" s="553">
        <v>0.10199999999999999</v>
      </c>
      <c r="D54" s="703"/>
      <c r="E54" s="50"/>
      <c r="F54" s="553">
        <v>0.04</v>
      </c>
      <c r="G54" s="553">
        <v>6.0999999999999999E-2</v>
      </c>
      <c r="H54" s="703"/>
      <c r="I54" s="50"/>
      <c r="J54" s="588">
        <v>1.9E-2</v>
      </c>
      <c r="K54" s="588">
        <v>0.04</v>
      </c>
      <c r="L54" s="588">
        <v>8.9999999999999993E-3</v>
      </c>
      <c r="M54" s="553">
        <v>0.06</v>
      </c>
    </row>
    <row r="55" spans="1:23" ht="15" customHeight="1" x14ac:dyDescent="0.3">
      <c r="A55" s="50">
        <v>52</v>
      </c>
      <c r="B55" s="553">
        <v>0.05</v>
      </c>
      <c r="C55" s="553">
        <v>0.104</v>
      </c>
      <c r="D55" s="703"/>
      <c r="E55" s="50"/>
      <c r="F55" s="553">
        <v>0.04</v>
      </c>
      <c r="G55" s="553">
        <v>6.2E-2</v>
      </c>
      <c r="H55" s="703"/>
      <c r="I55" s="50"/>
      <c r="J55" s="588">
        <v>1.7999999999999999E-2</v>
      </c>
      <c r="K55" s="588">
        <v>0.04</v>
      </c>
      <c r="L55" s="588">
        <v>8.0000000000000002E-3</v>
      </c>
      <c r="M55" s="553">
        <v>0.06</v>
      </c>
      <c r="R55" s="95"/>
      <c r="U55" s="62"/>
      <c r="V55" s="62"/>
      <c r="W55" s="95"/>
    </row>
    <row r="56" spans="1:23" ht="15" customHeight="1" x14ac:dyDescent="0.3">
      <c r="A56" s="50">
        <v>53</v>
      </c>
      <c r="B56" s="553">
        <v>0.05</v>
      </c>
      <c r="C56" s="553">
        <v>0.106</v>
      </c>
      <c r="D56" s="703"/>
      <c r="E56" s="50"/>
      <c r="F56" s="553">
        <v>0.04</v>
      </c>
      <c r="G56" s="553">
        <v>6.3E-2</v>
      </c>
      <c r="H56" s="703"/>
      <c r="I56" s="50"/>
      <c r="J56" s="588">
        <v>1.7000000000000001E-2</v>
      </c>
      <c r="K56" s="588">
        <v>0.04</v>
      </c>
      <c r="L56" s="588">
        <v>7.0000000000000001E-3</v>
      </c>
      <c r="M56" s="553">
        <v>0.06</v>
      </c>
      <c r="R56" s="95"/>
      <c r="U56" s="62"/>
      <c r="V56" s="62"/>
      <c r="W56" s="95"/>
    </row>
    <row r="57" spans="1:23" ht="15" customHeight="1" x14ac:dyDescent="0.3">
      <c r="A57" s="50">
        <v>54</v>
      </c>
      <c r="B57" s="553">
        <v>0.05</v>
      </c>
      <c r="C57" s="553">
        <v>0.108</v>
      </c>
      <c r="D57" s="703"/>
      <c r="E57" s="50"/>
      <c r="F57" s="553">
        <v>0.04</v>
      </c>
      <c r="G57" s="553">
        <v>6.4000000000000001E-2</v>
      </c>
      <c r="H57" s="703"/>
      <c r="I57" s="50"/>
      <c r="J57" s="588">
        <v>1.6E-2</v>
      </c>
      <c r="K57" s="588">
        <v>0.04</v>
      </c>
      <c r="L57" s="588">
        <v>6.0000000000000001E-3</v>
      </c>
      <c r="M57" s="553">
        <v>0.06</v>
      </c>
      <c r="R57" s="95"/>
    </row>
    <row r="58" spans="1:23" ht="15" customHeight="1" x14ac:dyDescent="0.3">
      <c r="A58" s="50">
        <v>55</v>
      </c>
      <c r="B58" s="553">
        <v>0.05</v>
      </c>
      <c r="C58" s="553">
        <v>0.11</v>
      </c>
      <c r="D58" s="703"/>
      <c r="E58" s="50"/>
      <c r="F58" s="553">
        <v>0.04</v>
      </c>
      <c r="G58" s="553">
        <v>6.5000000000000002E-2</v>
      </c>
      <c r="H58" s="703"/>
      <c r="I58" s="50"/>
      <c r="J58" s="588">
        <v>1.4999999999999999E-2</v>
      </c>
      <c r="K58" s="588">
        <v>0.04</v>
      </c>
      <c r="L58" s="588">
        <v>5.0000000000000001E-3</v>
      </c>
      <c r="M58" s="553">
        <v>0.06</v>
      </c>
    </row>
    <row r="59" spans="1:23" ht="15" customHeight="1" x14ac:dyDescent="0.3">
      <c r="A59" s="50">
        <v>56</v>
      </c>
      <c r="B59" s="553">
        <v>0.05</v>
      </c>
      <c r="C59" s="553">
        <v>0.112</v>
      </c>
      <c r="D59" s="703"/>
      <c r="E59" s="50"/>
      <c r="F59" s="553">
        <v>0.04</v>
      </c>
      <c r="G59" s="553">
        <v>6.6000000000000003E-2</v>
      </c>
      <c r="H59" s="703"/>
      <c r="I59" s="50"/>
      <c r="J59" s="588">
        <v>1.4E-2</v>
      </c>
      <c r="K59" s="588">
        <v>0.04</v>
      </c>
      <c r="L59" s="588">
        <v>4.0000000000000001E-3</v>
      </c>
      <c r="M59" s="553">
        <v>0.06</v>
      </c>
      <c r="R59" s="95"/>
      <c r="U59" s="62"/>
      <c r="V59" s="62"/>
      <c r="W59" s="95"/>
    </row>
    <row r="60" spans="1:23" ht="15" customHeight="1" x14ac:dyDescent="0.3">
      <c r="A60" s="50">
        <v>57</v>
      </c>
      <c r="B60" s="553">
        <v>0.05</v>
      </c>
      <c r="C60" s="553">
        <v>0.114</v>
      </c>
      <c r="D60" s="703"/>
      <c r="E60" s="50"/>
      <c r="F60" s="553">
        <v>0.04</v>
      </c>
      <c r="G60" s="553">
        <v>6.7000000000000004E-2</v>
      </c>
      <c r="H60" s="703"/>
      <c r="I60" s="50"/>
      <c r="J60" s="588">
        <v>1.2999999999999999E-2</v>
      </c>
      <c r="K60" s="588">
        <v>0.04</v>
      </c>
      <c r="L60" s="588">
        <v>3.0000000000000001E-3</v>
      </c>
      <c r="M60" s="553">
        <v>0.06</v>
      </c>
      <c r="R60" s="95"/>
      <c r="U60" s="62"/>
      <c r="V60" s="62"/>
      <c r="W60" s="95"/>
    </row>
    <row r="61" spans="1:23" ht="15" customHeight="1" x14ac:dyDescent="0.3">
      <c r="A61" s="50">
        <v>58</v>
      </c>
      <c r="B61" s="553">
        <v>0.05</v>
      </c>
      <c r="C61" s="553">
        <v>0.11600000000000001</v>
      </c>
      <c r="D61" s="703"/>
      <c r="E61" s="50"/>
      <c r="F61" s="553">
        <v>0.04</v>
      </c>
      <c r="G61" s="553">
        <v>6.8000000000000005E-2</v>
      </c>
      <c r="H61" s="703"/>
      <c r="I61" s="50"/>
      <c r="J61" s="588">
        <v>1.2E-2</v>
      </c>
      <c r="K61" s="588">
        <v>0.04</v>
      </c>
      <c r="L61" s="588">
        <v>2E-3</v>
      </c>
      <c r="M61" s="553">
        <v>0.06</v>
      </c>
      <c r="R61" s="95"/>
    </row>
    <row r="62" spans="1:23" ht="15" customHeight="1" x14ac:dyDescent="0.3">
      <c r="A62" s="50">
        <v>59</v>
      </c>
      <c r="B62" s="553">
        <v>0.05</v>
      </c>
      <c r="C62" s="553">
        <v>0.11799999999999999</v>
      </c>
      <c r="D62" s="703"/>
      <c r="E62" s="50"/>
      <c r="F62" s="553">
        <v>0.04</v>
      </c>
      <c r="G62" s="553">
        <v>6.9000000000000006E-2</v>
      </c>
      <c r="H62" s="703"/>
      <c r="I62" s="50"/>
      <c r="J62" s="588">
        <v>1.0999999999999999E-2</v>
      </c>
      <c r="K62" s="588">
        <v>0.04</v>
      </c>
      <c r="L62" s="588">
        <v>1E-3</v>
      </c>
      <c r="M62" s="553">
        <v>0.06</v>
      </c>
    </row>
    <row r="63" spans="1:23" ht="15" customHeight="1" x14ac:dyDescent="0.3">
      <c r="A63" s="50">
        <v>60</v>
      </c>
      <c r="B63" s="553">
        <v>0.05</v>
      </c>
      <c r="C63" s="553">
        <v>0.12</v>
      </c>
      <c r="D63" s="703"/>
      <c r="E63" s="50"/>
      <c r="F63" s="553">
        <v>0.04</v>
      </c>
      <c r="G63" s="553">
        <v>7.0000000000000007E-2</v>
      </c>
      <c r="H63" s="703"/>
      <c r="I63" s="50"/>
      <c r="J63" s="588">
        <v>0.01</v>
      </c>
      <c r="K63" s="588">
        <v>0.04</v>
      </c>
      <c r="L63" s="588">
        <v>0</v>
      </c>
      <c r="M63" s="553">
        <v>0.06</v>
      </c>
    </row>
    <row r="64" spans="1:23" ht="15" customHeight="1" x14ac:dyDescent="0.3">
      <c r="A64" s="50">
        <v>61</v>
      </c>
      <c r="B64" s="553">
        <v>4.9000000000000002E-2</v>
      </c>
      <c r="C64" s="553">
        <v>0.121</v>
      </c>
      <c r="D64" s="703"/>
      <c r="E64" s="50"/>
      <c r="F64" s="553">
        <v>3.9E-2</v>
      </c>
      <c r="G64" s="553">
        <v>7.0000000000000007E-2</v>
      </c>
      <c r="H64" s="50"/>
      <c r="I64" s="50"/>
      <c r="J64" s="588">
        <v>0.01</v>
      </c>
      <c r="K64" s="588">
        <v>4.1000000000000002E-2</v>
      </c>
      <c r="L64" s="588">
        <v>0</v>
      </c>
      <c r="M64" s="553">
        <v>6.0999999999999999E-2</v>
      </c>
      <c r="R64" s="95"/>
      <c r="U64" s="62"/>
      <c r="V64" s="62"/>
      <c r="W64" s="95"/>
    </row>
    <row r="65" spans="1:23" ht="15" customHeight="1" x14ac:dyDescent="0.3">
      <c r="A65" s="50">
        <v>62</v>
      </c>
      <c r="B65" s="553">
        <v>4.8000000000000001E-2</v>
      </c>
      <c r="C65" s="553">
        <v>0.122</v>
      </c>
      <c r="D65" s="703"/>
      <c r="E65" s="50"/>
      <c r="F65" s="553">
        <v>3.7999999999999999E-2</v>
      </c>
      <c r="G65" s="553">
        <v>7.0000000000000007E-2</v>
      </c>
      <c r="H65" s="50"/>
      <c r="I65" s="50"/>
      <c r="J65" s="588">
        <v>0.01</v>
      </c>
      <c r="K65" s="588">
        <v>4.2000000000000003E-2</v>
      </c>
      <c r="L65" s="588">
        <v>0</v>
      </c>
      <c r="M65" s="553">
        <v>6.2E-2</v>
      </c>
      <c r="R65" s="95"/>
      <c r="U65" s="62"/>
      <c r="V65" s="62"/>
      <c r="W65" s="95"/>
    </row>
    <row r="66" spans="1:23" ht="15" customHeight="1" x14ac:dyDescent="0.3">
      <c r="A66" s="50">
        <v>63</v>
      </c>
      <c r="B66" s="553">
        <v>4.7E-2</v>
      </c>
      <c r="C66" s="553">
        <v>0.123</v>
      </c>
      <c r="D66" s="703"/>
      <c r="E66" s="50"/>
      <c r="F66" s="553">
        <v>3.6999999999999998E-2</v>
      </c>
      <c r="G66" s="553">
        <v>7.0000000000000007E-2</v>
      </c>
      <c r="H66" s="50"/>
      <c r="I66" s="50"/>
      <c r="J66" s="588">
        <v>0.01</v>
      </c>
      <c r="K66" s="588">
        <v>4.2999999999999997E-2</v>
      </c>
      <c r="L66" s="588">
        <v>0</v>
      </c>
      <c r="M66" s="553">
        <v>6.3E-2</v>
      </c>
      <c r="R66" s="95"/>
    </row>
    <row r="67" spans="1:23" ht="15" customHeight="1" x14ac:dyDescent="0.3">
      <c r="A67" s="50">
        <v>64</v>
      </c>
      <c r="B67" s="553">
        <v>4.5999999999999999E-2</v>
      </c>
      <c r="C67" s="553">
        <v>0.124</v>
      </c>
      <c r="D67" s="703"/>
      <c r="E67" s="50"/>
      <c r="F67" s="553">
        <v>3.5999999999999997E-2</v>
      </c>
      <c r="G67" s="553">
        <v>7.0000000000000007E-2</v>
      </c>
      <c r="H67" s="50"/>
      <c r="I67" s="50"/>
      <c r="J67" s="588">
        <v>0.01</v>
      </c>
      <c r="K67" s="588">
        <v>4.3999999999999997E-2</v>
      </c>
      <c r="L67" s="588">
        <v>0</v>
      </c>
      <c r="M67" s="553">
        <v>6.4000000000000001E-2</v>
      </c>
      <c r="R67" s="95"/>
    </row>
    <row r="68" spans="1:23" ht="15" customHeight="1" x14ac:dyDescent="0.3">
      <c r="A68" s="50">
        <v>65</v>
      </c>
      <c r="B68" s="553">
        <v>4.4999999999999998E-2</v>
      </c>
      <c r="C68" s="553">
        <v>0.125</v>
      </c>
      <c r="D68" s="703"/>
      <c r="E68" s="50"/>
      <c r="F68" s="553">
        <v>3.5000000000000003E-2</v>
      </c>
      <c r="G68" s="553">
        <v>7.0000000000000007E-2</v>
      </c>
      <c r="H68" s="50"/>
      <c r="I68" s="50"/>
      <c r="J68" s="588">
        <v>0.01</v>
      </c>
      <c r="K68" s="588">
        <v>4.4999999999999998E-2</v>
      </c>
      <c r="L68" s="588">
        <v>0</v>
      </c>
      <c r="M68" s="553">
        <v>6.5000000000000002E-2</v>
      </c>
    </row>
    <row r="69" spans="1:23" ht="15" customHeight="1" x14ac:dyDescent="0.3">
      <c r="A69" s="50">
        <v>66</v>
      </c>
      <c r="B69" s="553">
        <v>4.3999999999999997E-2</v>
      </c>
      <c r="C69" s="553">
        <v>0.126</v>
      </c>
      <c r="D69" s="703"/>
      <c r="E69" s="50"/>
      <c r="F69" s="553">
        <v>3.4000000000000002E-2</v>
      </c>
      <c r="G69" s="553">
        <v>7.0000000000000007E-2</v>
      </c>
      <c r="H69" s="50"/>
      <c r="I69" s="50"/>
      <c r="J69" s="588">
        <v>0.01</v>
      </c>
      <c r="K69" s="588">
        <v>4.5999999999999999E-2</v>
      </c>
      <c r="L69" s="588">
        <v>0</v>
      </c>
      <c r="M69" s="553">
        <v>6.6000000000000003E-2</v>
      </c>
    </row>
    <row r="70" spans="1:23" ht="15" customHeight="1" x14ac:dyDescent="0.3">
      <c r="A70" s="50">
        <v>67</v>
      </c>
      <c r="B70" s="553">
        <v>4.2999999999999997E-2</v>
      </c>
      <c r="C70" s="553">
        <v>0.127</v>
      </c>
      <c r="D70" s="703"/>
      <c r="E70" s="50"/>
      <c r="F70" s="553">
        <v>3.3000000000000002E-2</v>
      </c>
      <c r="G70" s="553">
        <v>7.0000000000000007E-2</v>
      </c>
      <c r="H70" s="50"/>
      <c r="I70" s="50"/>
      <c r="J70" s="588">
        <v>0.01</v>
      </c>
      <c r="K70" s="588">
        <v>4.7E-2</v>
      </c>
      <c r="L70" s="588">
        <v>0</v>
      </c>
      <c r="M70" s="553">
        <v>6.7000000000000004E-2</v>
      </c>
      <c r="R70" s="95"/>
      <c r="U70" s="62"/>
      <c r="V70" s="62"/>
      <c r="W70" s="95"/>
    </row>
    <row r="71" spans="1:23" ht="15" customHeight="1" x14ac:dyDescent="0.3">
      <c r="A71" s="50">
        <v>68</v>
      </c>
      <c r="B71" s="553">
        <v>4.2000000000000003E-2</v>
      </c>
      <c r="C71" s="553">
        <v>0.128</v>
      </c>
      <c r="D71" s="703"/>
      <c r="E71" s="50"/>
      <c r="F71" s="553">
        <v>3.2000000000000001E-2</v>
      </c>
      <c r="G71" s="553">
        <v>7.0000000000000007E-2</v>
      </c>
      <c r="H71" s="50"/>
      <c r="I71" s="50"/>
      <c r="J71" s="588">
        <v>0.01</v>
      </c>
      <c r="K71" s="588">
        <v>4.8000000000000001E-2</v>
      </c>
      <c r="L71" s="588">
        <v>0</v>
      </c>
      <c r="M71" s="553">
        <v>6.8000000000000005E-2</v>
      </c>
      <c r="R71" s="95"/>
    </row>
    <row r="72" spans="1:23" ht="15" customHeight="1" x14ac:dyDescent="0.3">
      <c r="A72" s="50">
        <v>69</v>
      </c>
      <c r="B72" s="553">
        <v>4.1000000000000002E-2</v>
      </c>
      <c r="C72" s="553">
        <v>0.129</v>
      </c>
      <c r="D72" s="703"/>
      <c r="E72" s="50"/>
      <c r="F72" s="553">
        <v>3.1E-2</v>
      </c>
      <c r="G72" s="553">
        <v>7.0000000000000007E-2</v>
      </c>
      <c r="H72" s="50"/>
      <c r="I72" s="50"/>
      <c r="J72" s="588">
        <v>0.01</v>
      </c>
      <c r="K72" s="588">
        <v>4.9000000000000002E-2</v>
      </c>
      <c r="L72" s="588">
        <v>0</v>
      </c>
      <c r="M72" s="553">
        <v>6.9000000000000006E-2</v>
      </c>
      <c r="R72" s="95"/>
      <c r="U72" s="62"/>
      <c r="V72" s="62"/>
      <c r="W72" s="95"/>
    </row>
    <row r="73" spans="1:23" ht="15" customHeight="1" x14ac:dyDescent="0.3">
      <c r="A73" s="50">
        <v>70</v>
      </c>
      <c r="B73" s="553">
        <v>0.04</v>
      </c>
      <c r="C73" s="553">
        <v>0.13</v>
      </c>
      <c r="D73" s="703"/>
      <c r="E73" s="50"/>
      <c r="F73" s="553">
        <v>0.03</v>
      </c>
      <c r="G73" s="553">
        <v>7.0000000000000007E-2</v>
      </c>
      <c r="H73" s="50"/>
      <c r="I73" s="50"/>
      <c r="J73" s="588">
        <v>0.01</v>
      </c>
      <c r="K73" s="588">
        <v>0.05</v>
      </c>
      <c r="L73" s="588">
        <v>0</v>
      </c>
      <c r="M73" s="553">
        <v>7.0000000000000007E-2</v>
      </c>
      <c r="R73" s="95"/>
    </row>
    <row r="74" spans="1:23" ht="15" customHeight="1" x14ac:dyDescent="0.3">
      <c r="A74" s="50">
        <v>71</v>
      </c>
      <c r="B74" s="553">
        <v>0.04</v>
      </c>
      <c r="C74" s="553">
        <v>0.13200000000000001</v>
      </c>
      <c r="D74" s="703"/>
      <c r="E74" s="50"/>
      <c r="F74" s="553">
        <v>0.03</v>
      </c>
      <c r="G74" s="553">
        <v>7.0999999999999994E-2</v>
      </c>
      <c r="H74" s="703"/>
      <c r="I74" s="50"/>
      <c r="J74" s="588">
        <v>8.9999999999999993E-3</v>
      </c>
      <c r="K74" s="588">
        <v>5.0999999999999997E-2</v>
      </c>
      <c r="L74" s="588">
        <v>0</v>
      </c>
      <c r="M74" s="553">
        <v>7.0000000000000007E-2</v>
      </c>
      <c r="R74" s="95"/>
      <c r="U74" s="62"/>
      <c r="V74" s="62"/>
      <c r="W74" s="95"/>
    </row>
    <row r="75" spans="1:23" ht="15" customHeight="1" x14ac:dyDescent="0.3">
      <c r="A75" s="50">
        <v>72</v>
      </c>
      <c r="B75" s="553">
        <v>0.04</v>
      </c>
      <c r="C75" s="553">
        <v>0.13400000000000001</v>
      </c>
      <c r="D75" s="703"/>
      <c r="E75" s="50"/>
      <c r="F75" s="553">
        <v>0.03</v>
      </c>
      <c r="G75" s="553">
        <v>7.1999999999999995E-2</v>
      </c>
      <c r="H75" s="703"/>
      <c r="I75" s="50"/>
      <c r="J75" s="588">
        <v>8.0000000000000002E-3</v>
      </c>
      <c r="K75" s="588">
        <v>5.1999999999999998E-2</v>
      </c>
      <c r="L75" s="588">
        <v>0</v>
      </c>
      <c r="M75" s="553">
        <v>7.0000000000000007E-2</v>
      </c>
      <c r="R75" s="95"/>
    </row>
    <row r="76" spans="1:23" ht="15" customHeight="1" x14ac:dyDescent="0.3">
      <c r="A76" s="50">
        <v>73</v>
      </c>
      <c r="B76" s="553">
        <v>0.04</v>
      </c>
      <c r="C76" s="553">
        <v>0.13600000000000001</v>
      </c>
      <c r="D76" s="703"/>
      <c r="E76" s="50"/>
      <c r="F76" s="553">
        <v>0.03</v>
      </c>
      <c r="G76" s="553">
        <v>7.2999999999999995E-2</v>
      </c>
      <c r="H76" s="703"/>
      <c r="I76" s="50"/>
      <c r="J76" s="588">
        <v>7.0000000000000001E-3</v>
      </c>
      <c r="K76" s="588">
        <v>5.2999999999999999E-2</v>
      </c>
      <c r="L76" s="588">
        <v>0</v>
      </c>
      <c r="M76" s="553">
        <v>7.0000000000000007E-2</v>
      </c>
      <c r="R76" s="95"/>
      <c r="U76" s="62"/>
      <c r="V76" s="62"/>
      <c r="W76" s="95"/>
    </row>
    <row r="77" spans="1:23" ht="15" customHeight="1" x14ac:dyDescent="0.3">
      <c r="A77" s="50">
        <v>74</v>
      </c>
      <c r="B77" s="553">
        <v>0.04</v>
      </c>
      <c r="C77" s="553">
        <v>0.13800000000000001</v>
      </c>
      <c r="D77" s="703"/>
      <c r="E77" s="50"/>
      <c r="F77" s="553">
        <v>0.03</v>
      </c>
      <c r="G77" s="553">
        <v>7.3999999999999996E-2</v>
      </c>
      <c r="H77" s="703"/>
      <c r="I77" s="50"/>
      <c r="J77" s="588">
        <v>6.0000000000000001E-3</v>
      </c>
      <c r="K77" s="588">
        <v>5.3999999999999999E-2</v>
      </c>
      <c r="L77" s="588">
        <v>0</v>
      </c>
      <c r="M77" s="553">
        <v>7.0000000000000007E-2</v>
      </c>
      <c r="R77" s="95"/>
    </row>
    <row r="78" spans="1:23" ht="15" customHeight="1" x14ac:dyDescent="0.3">
      <c r="A78" s="50">
        <v>75</v>
      </c>
      <c r="B78" s="553">
        <v>0.04</v>
      </c>
      <c r="C78" s="553">
        <v>0.14000000000000001</v>
      </c>
      <c r="D78" s="703"/>
      <c r="E78" s="50"/>
      <c r="F78" s="553">
        <v>0.03</v>
      </c>
      <c r="G78" s="553">
        <v>7.4999999999999997E-2</v>
      </c>
      <c r="H78" s="703"/>
      <c r="I78" s="50"/>
      <c r="J78" s="588">
        <v>5.0000000000000001E-3</v>
      </c>
      <c r="K78" s="588">
        <v>5.5E-2</v>
      </c>
      <c r="L78" s="588">
        <v>0</v>
      </c>
      <c r="M78" s="553">
        <v>7.0000000000000007E-2</v>
      </c>
    </row>
    <row r="79" spans="1:23" ht="15" customHeight="1" x14ac:dyDescent="0.3">
      <c r="A79" s="50">
        <v>76</v>
      </c>
      <c r="B79" s="553">
        <v>0.04</v>
      </c>
      <c r="C79" s="553">
        <v>0.14199999999999999</v>
      </c>
      <c r="D79" s="703"/>
      <c r="E79" s="50"/>
      <c r="F79" s="553">
        <v>0.03</v>
      </c>
      <c r="G79" s="553">
        <v>7.5999999999999998E-2</v>
      </c>
      <c r="H79" s="703"/>
      <c r="I79" s="50"/>
      <c r="J79" s="588">
        <v>4.0000000000000001E-3</v>
      </c>
      <c r="K79" s="588">
        <v>5.6000000000000001E-2</v>
      </c>
      <c r="L79" s="588">
        <v>0</v>
      </c>
      <c r="M79" s="553">
        <v>7.0000000000000007E-2</v>
      </c>
    </row>
    <row r="80" spans="1:23" ht="15" customHeight="1" x14ac:dyDescent="0.3">
      <c r="A80" s="50">
        <v>77</v>
      </c>
      <c r="B80" s="553">
        <v>0.04</v>
      </c>
      <c r="C80" s="553">
        <v>0.14399999999999999</v>
      </c>
      <c r="D80" s="703"/>
      <c r="E80" s="50"/>
      <c r="F80" s="553">
        <v>0.03</v>
      </c>
      <c r="G80" s="553">
        <v>7.6999999999999999E-2</v>
      </c>
      <c r="H80" s="703"/>
      <c r="I80" s="50"/>
      <c r="J80" s="588">
        <v>3.0000000000000001E-3</v>
      </c>
      <c r="K80" s="588">
        <v>5.7000000000000002E-2</v>
      </c>
      <c r="L80" s="588">
        <v>0</v>
      </c>
      <c r="M80" s="553">
        <v>7.0000000000000007E-2</v>
      </c>
      <c r="O80" s="99"/>
      <c r="R80" s="95"/>
      <c r="U80" s="62"/>
      <c r="V80" s="62"/>
      <c r="W80" s="95"/>
    </row>
    <row r="81" spans="1:23" ht="15" customHeight="1" x14ac:dyDescent="0.3">
      <c r="A81" s="50">
        <v>78</v>
      </c>
      <c r="B81" s="553">
        <v>0.04</v>
      </c>
      <c r="C81" s="553">
        <v>0.14599999999999999</v>
      </c>
      <c r="D81" s="703"/>
      <c r="E81" s="50"/>
      <c r="F81" s="553">
        <v>0.03</v>
      </c>
      <c r="G81" s="553">
        <v>7.8E-2</v>
      </c>
      <c r="H81" s="703"/>
      <c r="I81" s="50"/>
      <c r="J81" s="588">
        <v>2E-3</v>
      </c>
      <c r="K81" s="611">
        <v>5.8000000000000003E-2</v>
      </c>
      <c r="L81" s="588">
        <v>0</v>
      </c>
      <c r="M81" s="553">
        <v>7.0000000000000007E-2</v>
      </c>
      <c r="O81" s="99"/>
      <c r="R81" s="95"/>
    </row>
    <row r="82" spans="1:23" ht="15" customHeight="1" x14ac:dyDescent="0.3">
      <c r="A82" s="50">
        <v>79</v>
      </c>
      <c r="B82" s="553">
        <v>0.04</v>
      </c>
      <c r="C82" s="553">
        <v>0.14799999999999999</v>
      </c>
      <c r="D82" s="703"/>
      <c r="E82" s="50"/>
      <c r="F82" s="553">
        <v>0.03</v>
      </c>
      <c r="G82" s="553">
        <v>7.9000000000000001E-2</v>
      </c>
      <c r="H82" s="703"/>
      <c r="I82" s="50"/>
      <c r="J82" s="588">
        <v>1E-3</v>
      </c>
      <c r="K82" s="588">
        <v>5.8999999999999997E-2</v>
      </c>
      <c r="L82" s="588">
        <v>0</v>
      </c>
      <c r="M82" s="553">
        <v>7.0000000000000007E-2</v>
      </c>
      <c r="O82" s="99"/>
      <c r="R82" s="95"/>
      <c r="U82" s="62"/>
      <c r="V82" s="62"/>
      <c r="W82" s="95"/>
    </row>
    <row r="83" spans="1:23" ht="15" customHeight="1" x14ac:dyDescent="0.3">
      <c r="A83" s="50">
        <v>80</v>
      </c>
      <c r="B83" s="553">
        <v>0.04</v>
      </c>
      <c r="C83" s="553">
        <v>0.15</v>
      </c>
      <c r="D83" s="703"/>
      <c r="E83" s="50"/>
      <c r="F83" s="553">
        <v>0.03</v>
      </c>
      <c r="G83" s="553">
        <v>0.08</v>
      </c>
      <c r="H83" s="703"/>
      <c r="I83" s="50"/>
      <c r="J83" s="588">
        <v>0</v>
      </c>
      <c r="K83" s="588">
        <v>0.06</v>
      </c>
      <c r="L83" s="588">
        <v>0</v>
      </c>
      <c r="M83" s="553">
        <v>7.0000000000000007E-2</v>
      </c>
      <c r="O83" s="99"/>
      <c r="R83" s="95"/>
    </row>
    <row r="84" spans="1:23" ht="15" customHeight="1" x14ac:dyDescent="0.3">
      <c r="A84" s="50">
        <v>81</v>
      </c>
      <c r="B84" s="553">
        <v>0.04</v>
      </c>
      <c r="C84" s="553">
        <v>0.151</v>
      </c>
      <c r="D84" s="703"/>
      <c r="E84" s="50"/>
      <c r="F84" s="553">
        <v>2.9000000000000001E-2</v>
      </c>
      <c r="G84" s="553">
        <v>8.1000000000000003E-2</v>
      </c>
      <c r="H84" s="703"/>
      <c r="I84" s="50"/>
      <c r="J84" s="588">
        <v>0</v>
      </c>
      <c r="K84" s="588">
        <v>6.0999999999999999E-2</v>
      </c>
      <c r="L84" s="588">
        <v>0</v>
      </c>
      <c r="M84" s="553">
        <v>7.0000000000000007E-2</v>
      </c>
      <c r="O84" s="99"/>
      <c r="R84" s="95"/>
      <c r="U84" s="62"/>
      <c r="V84" s="62"/>
      <c r="W84" s="95"/>
    </row>
    <row r="85" spans="1:23" ht="15" customHeight="1" x14ac:dyDescent="0.3">
      <c r="A85" s="50">
        <v>82</v>
      </c>
      <c r="B85" s="553">
        <v>0.04</v>
      </c>
      <c r="C85" s="553">
        <v>0.152</v>
      </c>
      <c r="D85" s="703"/>
      <c r="E85" s="50"/>
      <c r="F85" s="553">
        <v>2.8000000000000001E-2</v>
      </c>
      <c r="G85" s="553">
        <v>8.2000000000000003E-2</v>
      </c>
      <c r="H85" s="703"/>
      <c r="I85" s="50"/>
      <c r="J85" s="588">
        <v>0</v>
      </c>
      <c r="K85" s="588">
        <v>6.2E-2</v>
      </c>
      <c r="L85" s="588">
        <v>0</v>
      </c>
      <c r="M85" s="553">
        <v>7.0000000000000007E-2</v>
      </c>
      <c r="O85" s="99"/>
      <c r="R85" s="95"/>
    </row>
    <row r="86" spans="1:23" ht="15" customHeight="1" x14ac:dyDescent="0.3">
      <c r="A86" s="50">
        <v>83</v>
      </c>
      <c r="B86" s="553">
        <v>0.04</v>
      </c>
      <c r="C86" s="553">
        <v>0.153</v>
      </c>
      <c r="D86" s="703"/>
      <c r="E86" s="50"/>
      <c r="F86" s="553">
        <v>2.7E-2</v>
      </c>
      <c r="G86" s="553">
        <v>8.3000000000000004E-2</v>
      </c>
      <c r="H86" s="703"/>
      <c r="I86" s="50"/>
      <c r="J86" s="588">
        <v>0</v>
      </c>
      <c r="K86" s="588">
        <v>6.3E-2</v>
      </c>
      <c r="L86" s="588">
        <v>0</v>
      </c>
      <c r="M86" s="553">
        <v>7.0000000000000007E-2</v>
      </c>
      <c r="O86" s="99"/>
      <c r="R86" s="95"/>
      <c r="U86" s="62"/>
      <c r="V86" s="62"/>
      <c r="W86" s="95"/>
    </row>
    <row r="87" spans="1:23" ht="15" customHeight="1" x14ac:dyDescent="0.3">
      <c r="A87" s="50">
        <v>84</v>
      </c>
      <c r="B87" s="553">
        <v>0.04</v>
      </c>
      <c r="C87" s="553">
        <v>0.154</v>
      </c>
      <c r="D87" s="703"/>
      <c r="E87" s="50"/>
      <c r="F87" s="553">
        <v>2.5999999999999999E-2</v>
      </c>
      <c r="G87" s="553">
        <v>8.4000000000000005E-2</v>
      </c>
      <c r="H87" s="703"/>
      <c r="I87" s="50"/>
      <c r="J87" s="588">
        <v>0</v>
      </c>
      <c r="K87" s="588">
        <v>6.4000000000000001E-2</v>
      </c>
      <c r="L87" s="588">
        <v>0</v>
      </c>
      <c r="M87" s="553">
        <v>7.0000000000000007E-2</v>
      </c>
      <c r="O87" s="99"/>
      <c r="R87" s="95"/>
    </row>
    <row r="88" spans="1:23" ht="15" customHeight="1" x14ac:dyDescent="0.3">
      <c r="A88" s="50">
        <v>85</v>
      </c>
      <c r="B88" s="553">
        <v>0.04</v>
      </c>
      <c r="C88" s="553">
        <v>0.155</v>
      </c>
      <c r="D88" s="703"/>
      <c r="E88" s="50"/>
      <c r="F88" s="553">
        <v>2.5000000000000001E-2</v>
      </c>
      <c r="G88" s="553">
        <v>8.5000000000000006E-2</v>
      </c>
      <c r="H88" s="703"/>
      <c r="I88" s="50"/>
      <c r="J88" s="588">
        <v>0</v>
      </c>
      <c r="K88" s="588">
        <v>6.5000000000000002E-2</v>
      </c>
      <c r="L88" s="588">
        <v>0</v>
      </c>
      <c r="M88" s="553">
        <v>7.0000000000000007E-2</v>
      </c>
    </row>
    <row r="89" spans="1:23" ht="15" customHeight="1" x14ac:dyDescent="0.3">
      <c r="A89" s="50">
        <v>86</v>
      </c>
      <c r="B89" s="553">
        <v>0.04</v>
      </c>
      <c r="C89" s="553">
        <v>0.156</v>
      </c>
      <c r="D89" s="703"/>
      <c r="E89" s="50"/>
      <c r="F89" s="553">
        <v>2.4E-2</v>
      </c>
      <c r="G89" s="553">
        <v>8.5999999999999993E-2</v>
      </c>
      <c r="H89" s="703"/>
      <c r="I89" s="50"/>
      <c r="J89" s="588">
        <v>0</v>
      </c>
      <c r="K89" s="588">
        <v>6.6000000000000003E-2</v>
      </c>
      <c r="L89" s="588">
        <v>0</v>
      </c>
      <c r="M89" s="553">
        <v>7.0000000000000007E-2</v>
      </c>
    </row>
    <row r="90" spans="1:23" ht="15" customHeight="1" x14ac:dyDescent="0.3">
      <c r="A90" s="50">
        <v>87</v>
      </c>
      <c r="B90" s="553">
        <v>0.04</v>
      </c>
      <c r="C90" s="553">
        <v>0.157</v>
      </c>
      <c r="D90" s="703"/>
      <c r="E90" s="50"/>
      <c r="F90" s="553">
        <v>2.3E-2</v>
      </c>
      <c r="G90" s="553">
        <v>8.6999999999999994E-2</v>
      </c>
      <c r="H90" s="703"/>
      <c r="I90" s="50"/>
      <c r="J90" s="588">
        <v>0</v>
      </c>
      <c r="K90" s="588">
        <v>6.7000000000000004E-2</v>
      </c>
      <c r="L90" s="588">
        <v>0</v>
      </c>
      <c r="M90" s="553">
        <v>7.0000000000000007E-2</v>
      </c>
      <c r="R90" s="95"/>
    </row>
    <row r="91" spans="1:23" ht="15" customHeight="1" x14ac:dyDescent="0.3">
      <c r="A91" s="50">
        <v>88</v>
      </c>
      <c r="B91" s="553">
        <v>0.04</v>
      </c>
      <c r="C91" s="553">
        <v>0.158</v>
      </c>
      <c r="D91" s="703"/>
      <c r="E91" s="50"/>
      <c r="F91" s="553">
        <v>2.1999999999999999E-2</v>
      </c>
      <c r="G91" s="553">
        <v>8.7999999999999995E-2</v>
      </c>
      <c r="H91" s="703"/>
      <c r="I91" s="50"/>
      <c r="J91" s="588">
        <v>0</v>
      </c>
      <c r="K91" s="588">
        <v>6.8000000000000005E-2</v>
      </c>
      <c r="L91" s="588">
        <v>0</v>
      </c>
      <c r="M91" s="553">
        <v>7.0000000000000007E-2</v>
      </c>
      <c r="R91" s="95"/>
    </row>
    <row r="92" spans="1:23" ht="15" customHeight="1" x14ac:dyDescent="0.3">
      <c r="A92" s="50">
        <v>89</v>
      </c>
      <c r="B92" s="553">
        <v>0.04</v>
      </c>
      <c r="C92" s="553">
        <v>0.159</v>
      </c>
      <c r="D92" s="703"/>
      <c r="E92" s="50"/>
      <c r="F92" s="553">
        <v>2.1000000000000001E-2</v>
      </c>
      <c r="G92" s="553">
        <v>8.8999999999999996E-2</v>
      </c>
      <c r="H92" s="703"/>
      <c r="I92" s="50"/>
      <c r="J92" s="588">
        <v>0</v>
      </c>
      <c r="K92" s="588">
        <v>6.9000000000000006E-2</v>
      </c>
      <c r="L92" s="588">
        <v>0</v>
      </c>
      <c r="M92" s="553">
        <v>7.0000000000000007E-2</v>
      </c>
      <c r="R92" s="95"/>
    </row>
    <row r="93" spans="1:23" ht="15" customHeight="1" x14ac:dyDescent="0.3">
      <c r="A93" s="50">
        <v>90</v>
      </c>
      <c r="B93" s="553">
        <v>0.04</v>
      </c>
      <c r="C93" s="553">
        <v>0.16</v>
      </c>
      <c r="D93" s="703"/>
      <c r="E93" s="50"/>
      <c r="F93" s="553">
        <v>0.02</v>
      </c>
      <c r="G93" s="553">
        <v>0.09</v>
      </c>
      <c r="H93" s="703"/>
      <c r="I93" s="50"/>
      <c r="J93" s="588">
        <v>0</v>
      </c>
      <c r="K93" s="588">
        <v>7.0000000000000007E-2</v>
      </c>
      <c r="L93" s="588">
        <v>0</v>
      </c>
      <c r="M93" s="553">
        <v>7.0000000000000007E-2</v>
      </c>
    </row>
    <row r="94" spans="1:23" ht="15" customHeight="1" x14ac:dyDescent="0.3">
      <c r="A94" s="50">
        <v>91</v>
      </c>
      <c r="B94" s="553">
        <v>3.9E-2</v>
      </c>
      <c r="C94" s="553">
        <v>0.16</v>
      </c>
      <c r="D94" s="50"/>
      <c r="E94" s="50"/>
      <c r="F94" s="553">
        <v>0.02</v>
      </c>
      <c r="G94" s="553">
        <v>0.09</v>
      </c>
      <c r="H94" s="259"/>
      <c r="I94" s="50"/>
      <c r="J94" s="50"/>
      <c r="K94" s="588"/>
      <c r="L94" s="588"/>
      <c r="M94" s="588"/>
    </row>
    <row r="95" spans="1:23" ht="15" customHeight="1" x14ac:dyDescent="0.3">
      <c r="A95" s="50">
        <v>92</v>
      </c>
      <c r="B95" s="553">
        <v>3.7999999999999999E-2</v>
      </c>
      <c r="C95" s="553">
        <v>0.16</v>
      </c>
      <c r="D95" s="259"/>
      <c r="E95" s="50"/>
      <c r="F95" s="553">
        <v>0.02</v>
      </c>
      <c r="G95" s="553">
        <v>0.09</v>
      </c>
      <c r="H95" s="50"/>
      <c r="I95" s="50"/>
      <c r="J95" s="50"/>
      <c r="K95" s="588"/>
      <c r="L95" s="588"/>
      <c r="M95" s="588"/>
      <c r="R95" s="95"/>
    </row>
    <row r="96" spans="1:23" ht="15" customHeight="1" x14ac:dyDescent="0.3">
      <c r="A96" s="50">
        <v>93</v>
      </c>
      <c r="B96" s="553">
        <v>3.6999999999999998E-2</v>
      </c>
      <c r="C96" s="553">
        <v>0.16</v>
      </c>
      <c r="D96" s="703"/>
      <c r="E96" s="50"/>
      <c r="F96" s="553">
        <v>0.02</v>
      </c>
      <c r="G96" s="553">
        <v>0.09</v>
      </c>
      <c r="H96" s="50"/>
      <c r="I96" s="50"/>
      <c r="J96" s="50"/>
      <c r="K96" s="588"/>
      <c r="L96" s="588"/>
      <c r="M96" s="588"/>
      <c r="R96" s="95"/>
    </row>
    <row r="97" spans="1:18" ht="15" customHeight="1" x14ac:dyDescent="0.3">
      <c r="A97" s="50">
        <v>94</v>
      </c>
      <c r="B97" s="553">
        <v>3.5999999999999997E-2</v>
      </c>
      <c r="C97" s="553">
        <v>0.16</v>
      </c>
      <c r="D97" s="703"/>
      <c r="E97" s="50"/>
      <c r="F97" s="553">
        <v>0.02</v>
      </c>
      <c r="G97" s="553">
        <v>0.09</v>
      </c>
      <c r="H97" s="50"/>
      <c r="I97" s="50"/>
      <c r="J97" s="50"/>
      <c r="K97" s="588"/>
      <c r="L97" s="588"/>
      <c r="M97" s="588"/>
      <c r="R97" s="95"/>
    </row>
    <row r="98" spans="1:18" ht="15" customHeight="1" x14ac:dyDescent="0.3">
      <c r="A98" s="50">
        <v>95</v>
      </c>
      <c r="B98" s="553">
        <v>3.5000000000000003E-2</v>
      </c>
      <c r="C98" s="553">
        <v>0.16</v>
      </c>
      <c r="D98" s="703"/>
      <c r="E98" s="50"/>
      <c r="F98" s="553">
        <v>0.02</v>
      </c>
      <c r="G98" s="553">
        <v>0.09</v>
      </c>
      <c r="H98" s="50"/>
      <c r="I98" s="50"/>
      <c r="J98" s="50"/>
      <c r="K98" s="588"/>
      <c r="L98" s="588"/>
      <c r="M98" s="588"/>
    </row>
    <row r="99" spans="1:18" ht="15" customHeight="1" x14ac:dyDescent="0.3">
      <c r="A99" s="50">
        <v>96</v>
      </c>
      <c r="B99" s="553">
        <v>3.4000000000000002E-2</v>
      </c>
      <c r="C99" s="553">
        <v>0.16</v>
      </c>
      <c r="D99" s="703"/>
      <c r="E99" s="50"/>
      <c r="F99" s="553">
        <v>0.02</v>
      </c>
      <c r="G99" s="553">
        <v>0.09</v>
      </c>
      <c r="H99" s="50"/>
      <c r="I99" s="50"/>
      <c r="J99" s="50"/>
      <c r="K99" s="588"/>
      <c r="L99" s="588"/>
      <c r="M99" s="588"/>
    </row>
    <row r="100" spans="1:18" ht="15" customHeight="1" x14ac:dyDescent="0.3">
      <c r="A100" s="50">
        <v>97</v>
      </c>
      <c r="B100" s="553">
        <v>3.3000000000000002E-2</v>
      </c>
      <c r="C100" s="553">
        <v>0.16</v>
      </c>
      <c r="D100" s="703"/>
      <c r="E100" s="50"/>
      <c r="F100" s="553">
        <v>0.02</v>
      </c>
      <c r="G100" s="553">
        <v>0.09</v>
      </c>
      <c r="H100" s="50"/>
      <c r="I100" s="50"/>
      <c r="J100" s="50"/>
      <c r="K100" s="588"/>
      <c r="L100" s="588"/>
      <c r="M100" s="588"/>
      <c r="R100" s="95"/>
    </row>
    <row r="101" spans="1:18" ht="15" customHeight="1" x14ac:dyDescent="0.3">
      <c r="A101" s="50">
        <v>98</v>
      </c>
      <c r="B101" s="553">
        <v>3.2000000000000001E-2</v>
      </c>
      <c r="C101" s="553">
        <v>0.16</v>
      </c>
      <c r="D101" s="703"/>
      <c r="E101" s="50"/>
      <c r="F101" s="553">
        <v>0.02</v>
      </c>
      <c r="G101" s="553">
        <v>0.09</v>
      </c>
      <c r="H101" s="50"/>
      <c r="I101" s="50"/>
      <c r="J101" s="50"/>
      <c r="K101" s="588"/>
      <c r="L101" s="588"/>
      <c r="M101" s="588"/>
      <c r="R101" s="95"/>
    </row>
    <row r="102" spans="1:18" ht="15" customHeight="1" x14ac:dyDescent="0.3">
      <c r="A102" s="50">
        <v>99</v>
      </c>
      <c r="B102" s="553">
        <v>3.1E-2</v>
      </c>
      <c r="C102" s="553">
        <v>0.16</v>
      </c>
      <c r="D102" s="703"/>
      <c r="E102" s="50"/>
      <c r="F102" s="553">
        <v>0.02</v>
      </c>
      <c r="G102" s="553">
        <v>0.09</v>
      </c>
      <c r="H102" s="50"/>
      <c r="I102" s="50"/>
      <c r="J102" s="50"/>
      <c r="K102" s="588"/>
      <c r="L102" s="588"/>
      <c r="M102" s="588"/>
      <c r="R102" s="95"/>
    </row>
    <row r="103" spans="1:18" ht="15" customHeight="1" x14ac:dyDescent="0.3">
      <c r="A103" s="50">
        <v>100</v>
      </c>
      <c r="B103" s="553">
        <v>0.03</v>
      </c>
      <c r="C103" s="553">
        <v>0.16</v>
      </c>
      <c r="D103" s="703"/>
      <c r="E103" s="50"/>
      <c r="F103" s="553">
        <v>0.02</v>
      </c>
      <c r="G103" s="553">
        <v>0.09</v>
      </c>
      <c r="H103" s="50"/>
      <c r="I103" s="50"/>
      <c r="J103" s="50"/>
      <c r="K103" s="688"/>
      <c r="L103" s="588"/>
      <c r="M103" s="588"/>
    </row>
    <row r="104" spans="1:18" ht="15" customHeight="1" x14ac:dyDescent="0.3">
      <c r="A104" s="50">
        <v>101</v>
      </c>
      <c r="B104" s="553">
        <v>0.03</v>
      </c>
      <c r="C104" s="553">
        <v>0.161</v>
      </c>
      <c r="D104" s="703"/>
      <c r="E104" s="50"/>
      <c r="F104" s="553">
        <v>0.02</v>
      </c>
      <c r="G104" s="553">
        <v>9.0999999999999998E-2</v>
      </c>
      <c r="H104" s="703"/>
      <c r="I104" s="50"/>
      <c r="J104" s="50"/>
      <c r="K104" s="588"/>
      <c r="L104" s="588"/>
      <c r="M104" s="588"/>
    </row>
    <row r="105" spans="1:18" ht="15" customHeight="1" x14ac:dyDescent="0.3">
      <c r="A105" s="50">
        <v>102</v>
      </c>
      <c r="B105" s="553">
        <v>0.03</v>
      </c>
      <c r="C105" s="553">
        <v>0.16200000000000001</v>
      </c>
      <c r="D105" s="703"/>
      <c r="E105" s="50"/>
      <c r="F105" s="553">
        <v>0.02</v>
      </c>
      <c r="G105" s="553">
        <v>9.1999999999999998E-2</v>
      </c>
      <c r="H105" s="703"/>
      <c r="I105" s="50"/>
      <c r="J105" s="50"/>
      <c r="K105" s="588"/>
      <c r="L105" s="588"/>
      <c r="M105" s="588"/>
      <c r="R105" s="95"/>
    </row>
    <row r="106" spans="1:18" ht="15" customHeight="1" x14ac:dyDescent="0.3">
      <c r="A106" s="50">
        <v>103</v>
      </c>
      <c r="B106" s="553">
        <v>0.03</v>
      </c>
      <c r="C106" s="553">
        <v>0.16300000000000001</v>
      </c>
      <c r="D106" s="703"/>
      <c r="E106" s="50"/>
      <c r="F106" s="553">
        <v>0.02</v>
      </c>
      <c r="G106" s="553">
        <v>9.2999999999999999E-2</v>
      </c>
      <c r="H106" s="703"/>
      <c r="I106" s="50"/>
      <c r="J106" s="50"/>
      <c r="K106" s="588"/>
      <c r="L106" s="588"/>
      <c r="M106" s="588"/>
      <c r="R106" s="95"/>
    </row>
    <row r="107" spans="1:18" ht="15" customHeight="1" x14ac:dyDescent="0.3">
      <c r="A107" s="50">
        <v>104</v>
      </c>
      <c r="B107" s="553">
        <v>0.03</v>
      </c>
      <c r="C107" s="553">
        <v>0.16400000000000001</v>
      </c>
      <c r="D107" s="703"/>
      <c r="E107" s="50"/>
      <c r="F107" s="553">
        <v>0.02</v>
      </c>
      <c r="G107" s="553">
        <v>9.4E-2</v>
      </c>
      <c r="H107" s="703"/>
      <c r="I107" s="50"/>
      <c r="J107" s="50"/>
      <c r="K107" s="588"/>
      <c r="L107" s="588"/>
      <c r="M107" s="588"/>
      <c r="R107" s="95"/>
    </row>
    <row r="108" spans="1:18" ht="15" customHeight="1" x14ac:dyDescent="0.3">
      <c r="A108" s="50">
        <v>105</v>
      </c>
      <c r="B108" s="553">
        <v>0.03</v>
      </c>
      <c r="C108" s="553">
        <v>0.16500000000000001</v>
      </c>
      <c r="D108" s="703"/>
      <c r="E108" s="50"/>
      <c r="F108" s="553">
        <v>0.02</v>
      </c>
      <c r="G108" s="553">
        <v>9.5000000000000001E-2</v>
      </c>
      <c r="H108" s="703"/>
      <c r="I108" s="50"/>
      <c r="J108" s="50"/>
      <c r="K108" s="588"/>
      <c r="L108" s="588"/>
      <c r="M108" s="588"/>
    </row>
    <row r="109" spans="1:18" ht="15" customHeight="1" x14ac:dyDescent="0.3">
      <c r="A109" s="50">
        <v>106</v>
      </c>
      <c r="B109" s="553">
        <v>0.03</v>
      </c>
      <c r="C109" s="553">
        <v>0.16600000000000001</v>
      </c>
      <c r="D109" s="703"/>
      <c r="E109" s="50"/>
      <c r="F109" s="553">
        <v>0.02</v>
      </c>
      <c r="G109" s="553">
        <v>9.6000000000000002E-2</v>
      </c>
      <c r="H109" s="703"/>
      <c r="I109" s="50"/>
      <c r="J109" s="50"/>
      <c r="K109" s="588"/>
      <c r="L109" s="588"/>
      <c r="M109" s="588"/>
    </row>
    <row r="110" spans="1:18" ht="15" customHeight="1" x14ac:dyDescent="0.3">
      <c r="A110" s="50">
        <v>107</v>
      </c>
      <c r="B110" s="553">
        <v>0.03</v>
      </c>
      <c r="C110" s="553">
        <v>0.16700000000000001</v>
      </c>
      <c r="D110" s="703"/>
      <c r="E110" s="50"/>
      <c r="F110" s="553">
        <v>0.02</v>
      </c>
      <c r="G110" s="553">
        <v>9.7000000000000003E-2</v>
      </c>
      <c r="H110" s="703"/>
      <c r="I110" s="50"/>
      <c r="J110" s="50"/>
      <c r="K110" s="588"/>
      <c r="L110" s="588"/>
      <c r="M110" s="588"/>
      <c r="R110" s="95"/>
    </row>
    <row r="111" spans="1:18" ht="15" customHeight="1" x14ac:dyDescent="0.3">
      <c r="A111" s="50">
        <v>108</v>
      </c>
      <c r="B111" s="553">
        <v>0.03</v>
      </c>
      <c r="C111" s="553">
        <v>0.16800000000000001</v>
      </c>
      <c r="D111" s="703"/>
      <c r="E111" s="50"/>
      <c r="F111" s="553">
        <v>0.02</v>
      </c>
      <c r="G111" s="553">
        <v>9.8000000000000004E-2</v>
      </c>
      <c r="H111" s="703"/>
      <c r="I111" s="50"/>
      <c r="J111" s="50"/>
      <c r="K111" s="588"/>
      <c r="L111" s="588"/>
      <c r="M111" s="588"/>
      <c r="R111" s="95"/>
    </row>
    <row r="112" spans="1:18" ht="15" customHeight="1" x14ac:dyDescent="0.3">
      <c r="A112" s="50">
        <v>109</v>
      </c>
      <c r="B112" s="553">
        <v>0.03</v>
      </c>
      <c r="C112" s="553">
        <v>0.16900000000000001</v>
      </c>
      <c r="D112" s="703"/>
      <c r="E112" s="50"/>
      <c r="F112" s="553">
        <v>0.02</v>
      </c>
      <c r="G112" s="553">
        <v>9.9000000000000005E-2</v>
      </c>
      <c r="H112" s="703"/>
      <c r="I112" s="50"/>
      <c r="J112" s="50"/>
      <c r="K112" s="588"/>
      <c r="L112" s="588"/>
      <c r="M112" s="588"/>
      <c r="R112" s="95"/>
    </row>
    <row r="113" spans="1:18" ht="15" customHeight="1" x14ac:dyDescent="0.3">
      <c r="A113" s="50">
        <v>110</v>
      </c>
      <c r="B113" s="553">
        <v>0.03</v>
      </c>
      <c r="C113" s="588">
        <f t="shared" ref="C113:C153" si="2" xml:space="preserve"> 17%</f>
        <v>0.17</v>
      </c>
      <c r="D113" s="703"/>
      <c r="E113" s="50"/>
      <c r="F113" s="553">
        <v>0.02</v>
      </c>
      <c r="G113" s="553">
        <v>0.1</v>
      </c>
      <c r="H113" s="703"/>
      <c r="I113" s="50"/>
      <c r="J113" s="50"/>
      <c r="K113" s="588"/>
      <c r="L113" s="588"/>
      <c r="M113" s="588"/>
    </row>
    <row r="114" spans="1:18" ht="15" customHeight="1" x14ac:dyDescent="0.3">
      <c r="A114" s="50">
        <v>111</v>
      </c>
      <c r="B114" s="553">
        <v>0.03</v>
      </c>
      <c r="C114" s="588">
        <f t="shared" si="2"/>
        <v>0.17</v>
      </c>
      <c r="D114" s="50"/>
      <c r="E114" s="50"/>
      <c r="F114" s="553">
        <v>0.02</v>
      </c>
      <c r="G114" s="553">
        <v>0.1</v>
      </c>
      <c r="H114" s="50"/>
      <c r="I114" s="50"/>
      <c r="J114" s="50"/>
      <c r="K114" s="588"/>
      <c r="L114" s="588"/>
      <c r="M114" s="588"/>
    </row>
    <row r="115" spans="1:18" ht="15" customHeight="1" x14ac:dyDescent="0.3">
      <c r="A115" s="50">
        <v>112</v>
      </c>
      <c r="B115" s="553">
        <v>0.03</v>
      </c>
      <c r="C115" s="588">
        <f t="shared" si="2"/>
        <v>0.17</v>
      </c>
      <c r="D115" s="50"/>
      <c r="E115" s="50"/>
      <c r="F115" s="553">
        <v>0.02</v>
      </c>
      <c r="G115" s="553">
        <v>0.1</v>
      </c>
      <c r="H115" s="50"/>
      <c r="I115" s="50"/>
      <c r="J115" s="50"/>
      <c r="K115" s="588"/>
      <c r="L115" s="588"/>
      <c r="M115" s="588"/>
      <c r="R115" s="95"/>
    </row>
    <row r="116" spans="1:18" ht="15" customHeight="1" x14ac:dyDescent="0.3">
      <c r="A116" s="50">
        <v>113</v>
      </c>
      <c r="B116" s="553">
        <v>0.03</v>
      </c>
      <c r="C116" s="588">
        <f t="shared" si="2"/>
        <v>0.17</v>
      </c>
      <c r="D116" s="50"/>
      <c r="E116" s="50"/>
      <c r="F116" s="553">
        <v>0.02</v>
      </c>
      <c r="G116" s="553">
        <v>0.1</v>
      </c>
      <c r="H116" s="50"/>
      <c r="I116" s="50"/>
      <c r="J116" s="50"/>
      <c r="K116" s="588"/>
      <c r="L116" s="588"/>
      <c r="M116" s="588"/>
      <c r="R116" s="95"/>
    </row>
    <row r="117" spans="1:18" ht="15" customHeight="1" x14ac:dyDescent="0.3">
      <c r="A117" s="50">
        <v>114</v>
      </c>
      <c r="B117" s="553">
        <v>0.03</v>
      </c>
      <c r="C117" s="588">
        <f t="shared" si="2"/>
        <v>0.17</v>
      </c>
      <c r="D117" s="50"/>
      <c r="E117" s="50"/>
      <c r="F117" s="553">
        <v>0.02</v>
      </c>
      <c r="G117" s="553">
        <v>0.1</v>
      </c>
      <c r="H117" s="50"/>
      <c r="I117" s="50"/>
      <c r="J117" s="50"/>
      <c r="K117" s="588"/>
      <c r="L117" s="588"/>
      <c r="M117" s="588"/>
      <c r="R117" s="95"/>
    </row>
    <row r="118" spans="1:18" ht="15" customHeight="1" x14ac:dyDescent="0.3">
      <c r="A118" s="50">
        <v>115</v>
      </c>
      <c r="B118" s="553">
        <v>0.03</v>
      </c>
      <c r="C118" s="588">
        <f t="shared" si="2"/>
        <v>0.17</v>
      </c>
      <c r="D118" s="50"/>
      <c r="E118" s="50"/>
      <c r="F118" s="553">
        <v>0.02</v>
      </c>
      <c r="G118" s="553">
        <v>0.1</v>
      </c>
      <c r="H118" s="50"/>
      <c r="I118" s="50"/>
      <c r="J118" s="50"/>
      <c r="K118" s="588"/>
      <c r="L118" s="588"/>
      <c r="M118" s="588"/>
    </row>
    <row r="119" spans="1:18" ht="15" customHeight="1" x14ac:dyDescent="0.3">
      <c r="A119" s="50">
        <v>116</v>
      </c>
      <c r="B119" s="553">
        <v>0.03</v>
      </c>
      <c r="C119" s="588">
        <f t="shared" si="2"/>
        <v>0.17</v>
      </c>
      <c r="D119" s="50"/>
      <c r="E119" s="50"/>
      <c r="F119" s="553">
        <v>0.02</v>
      </c>
      <c r="G119" s="553">
        <v>0.1</v>
      </c>
      <c r="H119" s="50"/>
      <c r="I119" s="50"/>
      <c r="J119" s="50"/>
      <c r="K119" s="588"/>
      <c r="L119" s="588"/>
      <c r="M119" s="588"/>
    </row>
    <row r="120" spans="1:18" ht="15" customHeight="1" x14ac:dyDescent="0.3">
      <c r="A120" s="50">
        <v>117</v>
      </c>
      <c r="B120" s="553">
        <v>0.03</v>
      </c>
      <c r="C120" s="588">
        <f t="shared" si="2"/>
        <v>0.17</v>
      </c>
      <c r="D120" s="50"/>
      <c r="E120" s="50"/>
      <c r="F120" s="553">
        <v>0.02</v>
      </c>
      <c r="G120" s="553">
        <v>0.1</v>
      </c>
      <c r="H120" s="50"/>
      <c r="I120" s="50"/>
      <c r="J120" s="50"/>
      <c r="K120" s="588"/>
      <c r="L120" s="588"/>
      <c r="M120" s="588"/>
      <c r="R120" s="95"/>
    </row>
    <row r="121" spans="1:18" ht="15" customHeight="1" x14ac:dyDescent="0.3">
      <c r="A121" s="50">
        <v>118</v>
      </c>
      <c r="B121" s="553">
        <v>0.03</v>
      </c>
      <c r="C121" s="588">
        <f t="shared" si="2"/>
        <v>0.17</v>
      </c>
      <c r="D121" s="50"/>
      <c r="E121" s="50"/>
      <c r="F121" s="553">
        <v>0.02</v>
      </c>
      <c r="G121" s="553">
        <v>0.1</v>
      </c>
      <c r="H121" s="50"/>
      <c r="I121" s="50"/>
      <c r="J121" s="50"/>
      <c r="K121" s="588"/>
      <c r="L121" s="588"/>
      <c r="M121" s="588"/>
      <c r="R121" s="95"/>
    </row>
    <row r="122" spans="1:18" ht="15" customHeight="1" x14ac:dyDescent="0.3">
      <c r="A122" s="50">
        <v>119</v>
      </c>
      <c r="B122" s="553">
        <v>0.03</v>
      </c>
      <c r="C122" s="588">
        <f t="shared" si="2"/>
        <v>0.17</v>
      </c>
      <c r="D122" s="50"/>
      <c r="E122" s="50"/>
      <c r="F122" s="553">
        <v>0.02</v>
      </c>
      <c r="G122" s="553">
        <v>0.1</v>
      </c>
      <c r="H122" s="50"/>
      <c r="I122" s="50"/>
      <c r="J122" s="50"/>
      <c r="K122" s="588"/>
      <c r="L122" s="588"/>
      <c r="M122" s="588"/>
      <c r="R122" s="95"/>
    </row>
    <row r="123" spans="1:18" ht="15" customHeight="1" x14ac:dyDescent="0.3">
      <c r="A123" s="50">
        <v>120</v>
      </c>
      <c r="B123" s="553">
        <v>0.03</v>
      </c>
      <c r="C123" s="588">
        <f t="shared" si="2"/>
        <v>0.17</v>
      </c>
      <c r="D123" s="50"/>
      <c r="E123" s="50"/>
      <c r="F123" s="553">
        <v>0.02</v>
      </c>
      <c r="G123" s="553">
        <v>0.1</v>
      </c>
      <c r="H123" s="50"/>
      <c r="I123" s="50"/>
      <c r="J123" s="50"/>
      <c r="K123" s="588"/>
      <c r="L123" s="588"/>
      <c r="M123" s="588"/>
    </row>
    <row r="124" spans="1:18" ht="15" customHeight="1" x14ac:dyDescent="0.3">
      <c r="A124" s="50">
        <v>121</v>
      </c>
      <c r="B124" s="553">
        <v>2.9000000000000001E-2</v>
      </c>
      <c r="C124" s="588">
        <f t="shared" si="2"/>
        <v>0.17</v>
      </c>
      <c r="D124" s="703"/>
      <c r="E124" s="50"/>
      <c r="F124" s="553">
        <v>1.9E-2</v>
      </c>
      <c r="G124" s="553">
        <v>0.1</v>
      </c>
      <c r="H124" s="50"/>
      <c r="I124" s="50"/>
      <c r="J124" s="50"/>
      <c r="K124" s="588"/>
      <c r="L124" s="588"/>
      <c r="M124" s="588"/>
    </row>
    <row r="125" spans="1:18" ht="15" customHeight="1" x14ac:dyDescent="0.3">
      <c r="A125" s="50">
        <v>122</v>
      </c>
      <c r="B125" s="553">
        <v>2.8000000000000001E-2</v>
      </c>
      <c r="C125" s="588">
        <f t="shared" si="2"/>
        <v>0.17</v>
      </c>
      <c r="D125" s="703"/>
      <c r="E125" s="50"/>
      <c r="F125" s="553">
        <v>1.7999999999999999E-2</v>
      </c>
      <c r="G125" s="553">
        <v>0.1</v>
      </c>
      <c r="H125" s="50"/>
      <c r="I125" s="50"/>
      <c r="J125" s="50"/>
      <c r="K125" s="588"/>
      <c r="L125" s="588"/>
      <c r="M125" s="588"/>
      <c r="R125" s="95"/>
    </row>
    <row r="126" spans="1:18" ht="15" customHeight="1" x14ac:dyDescent="0.3">
      <c r="A126" s="50">
        <v>123</v>
      </c>
      <c r="B126" s="553">
        <v>2.7E-2</v>
      </c>
      <c r="C126" s="588">
        <f t="shared" si="2"/>
        <v>0.17</v>
      </c>
      <c r="D126" s="703"/>
      <c r="E126" s="50"/>
      <c r="F126" s="553">
        <v>1.7000000000000001E-2</v>
      </c>
      <c r="G126" s="553">
        <v>0.1</v>
      </c>
      <c r="H126" s="50"/>
      <c r="I126" s="50"/>
      <c r="J126" s="50"/>
      <c r="K126" s="588"/>
      <c r="L126" s="588"/>
      <c r="M126" s="588"/>
      <c r="R126" s="95"/>
    </row>
    <row r="127" spans="1:18" ht="15" customHeight="1" x14ac:dyDescent="0.3">
      <c r="A127" s="50">
        <v>124</v>
      </c>
      <c r="B127" s="553">
        <v>2.5999999999999999E-2</v>
      </c>
      <c r="C127" s="588">
        <f t="shared" si="2"/>
        <v>0.17</v>
      </c>
      <c r="D127" s="703"/>
      <c r="E127" s="50"/>
      <c r="F127" s="553">
        <v>1.6E-2</v>
      </c>
      <c r="G127" s="553">
        <v>0.1</v>
      </c>
      <c r="H127" s="50"/>
      <c r="I127" s="50"/>
      <c r="J127" s="50"/>
      <c r="K127" s="588"/>
      <c r="L127" s="588"/>
      <c r="M127" s="588"/>
      <c r="R127" s="95"/>
    </row>
    <row r="128" spans="1:18" ht="15" customHeight="1" x14ac:dyDescent="0.3">
      <c r="A128" s="50">
        <v>125</v>
      </c>
      <c r="B128" s="553">
        <v>2.5000000000000001E-2</v>
      </c>
      <c r="C128" s="588">
        <f t="shared" si="2"/>
        <v>0.17</v>
      </c>
      <c r="D128" s="703"/>
      <c r="E128" s="50"/>
      <c r="F128" s="553">
        <v>1.4999999999999999E-2</v>
      </c>
      <c r="G128" s="553">
        <v>0.1</v>
      </c>
      <c r="H128" s="50"/>
      <c r="I128" s="50"/>
      <c r="J128" s="50"/>
      <c r="K128" s="588"/>
      <c r="L128" s="588"/>
      <c r="M128" s="588"/>
    </row>
    <row r="129" spans="1:18" ht="15" customHeight="1" x14ac:dyDescent="0.3">
      <c r="A129" s="50">
        <v>126</v>
      </c>
      <c r="B129" s="553">
        <v>2.4E-2</v>
      </c>
      <c r="C129" s="588">
        <f t="shared" si="2"/>
        <v>0.17</v>
      </c>
      <c r="D129" s="703"/>
      <c r="E129" s="50"/>
      <c r="F129" s="553">
        <v>1.4E-2</v>
      </c>
      <c r="G129" s="553">
        <v>0.1</v>
      </c>
      <c r="H129" s="50"/>
      <c r="I129" s="50"/>
      <c r="J129" s="50"/>
      <c r="K129" s="588"/>
      <c r="L129" s="588"/>
      <c r="M129" s="588"/>
    </row>
    <row r="130" spans="1:18" ht="15" customHeight="1" x14ac:dyDescent="0.3">
      <c r="A130" s="50">
        <v>127</v>
      </c>
      <c r="B130" s="553">
        <v>2.3E-2</v>
      </c>
      <c r="C130" s="588">
        <f t="shared" si="2"/>
        <v>0.17</v>
      </c>
      <c r="D130" s="703"/>
      <c r="E130" s="50"/>
      <c r="F130" s="553">
        <v>1.2999999999999999E-2</v>
      </c>
      <c r="G130" s="553">
        <v>0.1</v>
      </c>
      <c r="H130" s="50"/>
      <c r="I130" s="50"/>
      <c r="J130" s="50"/>
      <c r="K130" s="588"/>
      <c r="L130" s="588"/>
      <c r="M130" s="588"/>
      <c r="R130" s="95"/>
    </row>
    <row r="131" spans="1:18" ht="15" customHeight="1" x14ac:dyDescent="0.3">
      <c r="A131" s="50">
        <v>128</v>
      </c>
      <c r="B131" s="553">
        <v>2.1999999999999999E-2</v>
      </c>
      <c r="C131" s="588">
        <f t="shared" si="2"/>
        <v>0.17</v>
      </c>
      <c r="D131" s="703"/>
      <c r="E131" s="50"/>
      <c r="F131" s="553">
        <v>1.2E-2</v>
      </c>
      <c r="G131" s="553">
        <v>0.1</v>
      </c>
      <c r="H131" s="50"/>
      <c r="I131" s="50"/>
      <c r="J131" s="50"/>
      <c r="K131" s="588"/>
      <c r="L131" s="588"/>
      <c r="M131" s="588"/>
      <c r="R131" s="95"/>
    </row>
    <row r="132" spans="1:18" ht="15" customHeight="1" x14ac:dyDescent="0.3">
      <c r="A132" s="50">
        <v>129</v>
      </c>
      <c r="B132" s="553">
        <v>2.1000000000000001E-2</v>
      </c>
      <c r="C132" s="588">
        <f t="shared" si="2"/>
        <v>0.17</v>
      </c>
      <c r="D132" s="703"/>
      <c r="E132" s="50"/>
      <c r="F132" s="553">
        <v>1.0999999999999999E-2</v>
      </c>
      <c r="G132" s="553">
        <v>0.1</v>
      </c>
      <c r="H132" s="50"/>
      <c r="I132" s="50"/>
      <c r="J132" s="50"/>
      <c r="K132" s="588"/>
      <c r="L132" s="588"/>
      <c r="M132" s="588"/>
      <c r="R132" s="95"/>
    </row>
    <row r="133" spans="1:18" ht="15" customHeight="1" x14ac:dyDescent="0.3">
      <c r="A133" s="50">
        <v>130</v>
      </c>
      <c r="B133" s="553">
        <v>0.02</v>
      </c>
      <c r="C133" s="588">
        <f t="shared" si="2"/>
        <v>0.17</v>
      </c>
      <c r="D133" s="703"/>
      <c r="E133" s="50"/>
      <c r="F133" s="553">
        <v>0.01</v>
      </c>
      <c r="G133" s="553">
        <v>0.1</v>
      </c>
      <c r="H133" s="50"/>
      <c r="I133" s="50"/>
      <c r="J133" s="50"/>
      <c r="K133" s="588"/>
      <c r="L133" s="588"/>
      <c r="M133" s="588"/>
    </row>
    <row r="134" spans="1:18" ht="15" customHeight="1" x14ac:dyDescent="0.3">
      <c r="A134" s="50">
        <v>131</v>
      </c>
      <c r="B134" s="553">
        <v>0.02</v>
      </c>
      <c r="C134" s="588">
        <f t="shared" si="2"/>
        <v>0.17</v>
      </c>
      <c r="D134" s="50"/>
      <c r="E134" s="50"/>
      <c r="F134" s="553">
        <v>0.01</v>
      </c>
      <c r="G134" s="553">
        <v>0.1</v>
      </c>
      <c r="H134" s="50"/>
      <c r="I134" s="50"/>
      <c r="J134" s="50"/>
      <c r="K134" s="588"/>
      <c r="L134" s="588"/>
      <c r="M134" s="588"/>
    </row>
    <row r="135" spans="1:18" ht="15" customHeight="1" x14ac:dyDescent="0.3">
      <c r="A135" s="50">
        <v>132</v>
      </c>
      <c r="B135" s="553">
        <v>0.02</v>
      </c>
      <c r="C135" s="588">
        <f t="shared" si="2"/>
        <v>0.17</v>
      </c>
      <c r="D135" s="50"/>
      <c r="E135" s="50"/>
      <c r="F135" s="553">
        <v>0.01</v>
      </c>
      <c r="G135" s="553">
        <v>0.1</v>
      </c>
      <c r="H135" s="50"/>
      <c r="I135" s="50"/>
      <c r="J135" s="50"/>
      <c r="K135" s="588"/>
      <c r="L135" s="588"/>
      <c r="M135" s="588"/>
      <c r="R135" s="95"/>
    </row>
    <row r="136" spans="1:18" ht="15" customHeight="1" x14ac:dyDescent="0.3">
      <c r="A136" s="50">
        <v>133</v>
      </c>
      <c r="B136" s="553">
        <v>0.02</v>
      </c>
      <c r="C136" s="588">
        <f t="shared" si="2"/>
        <v>0.17</v>
      </c>
      <c r="D136" s="50"/>
      <c r="E136" s="50"/>
      <c r="F136" s="553">
        <v>0.01</v>
      </c>
      <c r="G136" s="553">
        <v>0.1</v>
      </c>
      <c r="H136" s="50"/>
      <c r="I136" s="50"/>
      <c r="J136" s="50"/>
      <c r="K136" s="588"/>
      <c r="L136" s="588"/>
      <c r="M136" s="588"/>
      <c r="R136" s="95"/>
    </row>
    <row r="137" spans="1:18" ht="15" customHeight="1" x14ac:dyDescent="0.3">
      <c r="A137" s="50">
        <v>134</v>
      </c>
      <c r="B137" s="553">
        <v>0.02</v>
      </c>
      <c r="C137" s="588">
        <f t="shared" si="2"/>
        <v>0.17</v>
      </c>
      <c r="D137" s="50"/>
      <c r="E137" s="50"/>
      <c r="F137" s="553">
        <v>0.01</v>
      </c>
      <c r="G137" s="553">
        <v>0.1</v>
      </c>
      <c r="H137" s="50"/>
      <c r="I137" s="50"/>
      <c r="J137" s="50"/>
      <c r="K137" s="588"/>
      <c r="L137" s="588"/>
      <c r="M137" s="588"/>
      <c r="R137" s="95"/>
    </row>
    <row r="138" spans="1:18" ht="15" customHeight="1" x14ac:dyDescent="0.3">
      <c r="A138" s="50">
        <v>135</v>
      </c>
      <c r="B138" s="553">
        <v>0.02</v>
      </c>
      <c r="C138" s="588">
        <f t="shared" si="2"/>
        <v>0.17</v>
      </c>
      <c r="D138" s="50"/>
      <c r="E138" s="50"/>
      <c r="F138" s="553">
        <v>0.01</v>
      </c>
      <c r="G138" s="553">
        <v>0.1</v>
      </c>
      <c r="H138" s="50"/>
      <c r="I138" s="50"/>
      <c r="J138" s="50"/>
      <c r="K138" s="588"/>
      <c r="L138" s="588"/>
      <c r="M138" s="588"/>
    </row>
    <row r="139" spans="1:18" ht="15" customHeight="1" x14ac:dyDescent="0.3">
      <c r="A139" s="50">
        <v>136</v>
      </c>
      <c r="B139" s="553">
        <v>0.02</v>
      </c>
      <c r="C139" s="588">
        <f t="shared" si="2"/>
        <v>0.17</v>
      </c>
      <c r="D139" s="50"/>
      <c r="E139" s="50"/>
      <c r="F139" s="553">
        <v>0.01</v>
      </c>
      <c r="G139" s="553">
        <v>0.1</v>
      </c>
      <c r="H139" s="50"/>
      <c r="I139" s="50"/>
      <c r="J139" s="50"/>
      <c r="K139" s="588"/>
      <c r="L139" s="588"/>
      <c r="M139" s="588"/>
    </row>
    <row r="140" spans="1:18" ht="15" customHeight="1" x14ac:dyDescent="0.3">
      <c r="A140" s="50">
        <v>137</v>
      </c>
      <c r="B140" s="553">
        <v>0.02</v>
      </c>
      <c r="C140" s="588">
        <f t="shared" si="2"/>
        <v>0.17</v>
      </c>
      <c r="D140" s="50"/>
      <c r="E140" s="50"/>
      <c r="F140" s="553">
        <v>0.01</v>
      </c>
      <c r="G140" s="553">
        <v>0.1</v>
      </c>
      <c r="H140" s="50"/>
      <c r="I140" s="50"/>
      <c r="J140" s="50"/>
      <c r="K140" s="588"/>
      <c r="L140" s="588"/>
      <c r="M140" s="588"/>
      <c r="R140" s="95"/>
    </row>
    <row r="141" spans="1:18" ht="15" customHeight="1" x14ac:dyDescent="0.3">
      <c r="A141" s="50">
        <v>138</v>
      </c>
      <c r="B141" s="553">
        <v>0.02</v>
      </c>
      <c r="C141" s="588">
        <f t="shared" si="2"/>
        <v>0.17</v>
      </c>
      <c r="D141" s="50"/>
      <c r="E141" s="50"/>
      <c r="F141" s="553">
        <v>0.01</v>
      </c>
      <c r="G141" s="553">
        <v>0.1</v>
      </c>
      <c r="H141" s="50"/>
      <c r="I141" s="50"/>
      <c r="J141" s="50"/>
      <c r="K141" s="588"/>
      <c r="L141" s="588"/>
      <c r="M141" s="588"/>
      <c r="R141" s="95"/>
    </row>
    <row r="142" spans="1:18" ht="15" customHeight="1" x14ac:dyDescent="0.3">
      <c r="A142" s="50">
        <v>139</v>
      </c>
      <c r="B142" s="553">
        <v>0.02</v>
      </c>
      <c r="C142" s="588">
        <f t="shared" si="2"/>
        <v>0.17</v>
      </c>
      <c r="D142" s="50"/>
      <c r="E142" s="50"/>
      <c r="F142" s="553">
        <v>0.01</v>
      </c>
      <c r="G142" s="553">
        <v>0.1</v>
      </c>
      <c r="H142" s="50"/>
      <c r="I142" s="50"/>
      <c r="J142" s="50"/>
      <c r="K142" s="588"/>
      <c r="L142" s="588"/>
      <c r="M142" s="588"/>
      <c r="R142" s="95"/>
    </row>
    <row r="143" spans="1:18" ht="15" customHeight="1" x14ac:dyDescent="0.3">
      <c r="A143" s="50">
        <v>140</v>
      </c>
      <c r="B143" s="553">
        <v>0.02</v>
      </c>
      <c r="C143" s="588">
        <f t="shared" si="2"/>
        <v>0.17</v>
      </c>
      <c r="D143" s="50"/>
      <c r="E143" s="50"/>
      <c r="F143" s="553">
        <v>0.01</v>
      </c>
      <c r="G143" s="553">
        <v>0.1</v>
      </c>
      <c r="H143" s="50"/>
      <c r="I143" s="50"/>
      <c r="J143" s="50"/>
      <c r="K143" s="588"/>
      <c r="L143" s="588"/>
      <c r="M143" s="588"/>
      <c r="R143" s="95"/>
    </row>
    <row r="144" spans="1:18" ht="15" customHeight="1" x14ac:dyDescent="0.3">
      <c r="A144" s="50">
        <v>141</v>
      </c>
      <c r="B144" s="553">
        <v>1.9E-2</v>
      </c>
      <c r="C144" s="588">
        <f t="shared" si="2"/>
        <v>0.17</v>
      </c>
      <c r="D144" s="703"/>
      <c r="E144" s="50"/>
      <c r="F144" s="553">
        <v>0.01</v>
      </c>
      <c r="G144" s="553">
        <v>0.10100000000000001</v>
      </c>
      <c r="H144" s="703"/>
      <c r="I144" s="50"/>
      <c r="J144" s="50"/>
      <c r="K144" s="588"/>
      <c r="L144" s="588"/>
      <c r="M144" s="588"/>
      <c r="R144" s="95"/>
    </row>
    <row r="145" spans="1:23" ht="15" customHeight="1" x14ac:dyDescent="0.3">
      <c r="A145" s="50">
        <v>142</v>
      </c>
      <c r="B145" s="553">
        <v>1.7999999999999999E-2</v>
      </c>
      <c r="C145" s="588">
        <f t="shared" si="2"/>
        <v>0.17</v>
      </c>
      <c r="D145" s="703"/>
      <c r="E145" s="50"/>
      <c r="F145" s="553">
        <v>0.01</v>
      </c>
      <c r="G145" s="553">
        <v>0.10199999999999999</v>
      </c>
      <c r="H145" s="703"/>
      <c r="I145" s="50"/>
      <c r="J145" s="50"/>
      <c r="K145" s="588"/>
      <c r="L145" s="588"/>
      <c r="M145" s="588"/>
    </row>
    <row r="146" spans="1:23" ht="15" customHeight="1" x14ac:dyDescent="0.3">
      <c r="A146" s="50">
        <v>143</v>
      </c>
      <c r="B146" s="553">
        <v>1.7000000000000001E-2</v>
      </c>
      <c r="C146" s="588">
        <f t="shared" si="2"/>
        <v>0.17</v>
      </c>
      <c r="D146" s="703"/>
      <c r="E146" s="50"/>
      <c r="F146" s="553">
        <v>0.01</v>
      </c>
      <c r="G146" s="553">
        <v>0.10299999999999999</v>
      </c>
      <c r="H146" s="703"/>
      <c r="I146" s="50"/>
      <c r="J146" s="50"/>
      <c r="K146" s="588"/>
      <c r="L146" s="588"/>
      <c r="M146" s="588"/>
      <c r="R146" s="62"/>
    </row>
    <row r="147" spans="1:23" ht="15" customHeight="1" x14ac:dyDescent="0.3">
      <c r="A147" s="50">
        <v>144</v>
      </c>
      <c r="B147" s="553">
        <v>1.6E-2</v>
      </c>
      <c r="C147" s="588">
        <f t="shared" si="2"/>
        <v>0.17</v>
      </c>
      <c r="D147" s="703"/>
      <c r="E147" s="50"/>
      <c r="F147" s="553">
        <v>0.01</v>
      </c>
      <c r="G147" s="553">
        <v>0.104</v>
      </c>
      <c r="H147" s="703"/>
      <c r="I147" s="50"/>
      <c r="J147" s="50"/>
      <c r="K147" s="588"/>
      <c r="L147" s="588"/>
      <c r="M147" s="588"/>
      <c r="R147" s="95"/>
    </row>
    <row r="148" spans="1:23" ht="15" customHeight="1" x14ac:dyDescent="0.3">
      <c r="A148" s="50">
        <v>145</v>
      </c>
      <c r="B148" s="553">
        <v>1.4999999999999999E-2</v>
      </c>
      <c r="C148" s="588">
        <f t="shared" si="2"/>
        <v>0.17</v>
      </c>
      <c r="D148" s="703"/>
      <c r="E148" s="50"/>
      <c r="F148" s="553">
        <v>0.01</v>
      </c>
      <c r="G148" s="553">
        <v>0.105</v>
      </c>
      <c r="H148" s="703"/>
      <c r="I148" s="50"/>
      <c r="J148" s="50"/>
      <c r="K148" s="588"/>
      <c r="L148" s="588"/>
      <c r="M148" s="588"/>
    </row>
    <row r="149" spans="1:23" ht="15" customHeight="1" x14ac:dyDescent="0.3">
      <c r="A149" s="50">
        <v>146</v>
      </c>
      <c r="B149" s="553">
        <v>1.4E-2</v>
      </c>
      <c r="C149" s="588">
        <f t="shared" si="2"/>
        <v>0.17</v>
      </c>
      <c r="D149" s="703"/>
      <c r="E149" s="50"/>
      <c r="F149" s="553">
        <v>0.01</v>
      </c>
      <c r="G149" s="553">
        <v>0.106</v>
      </c>
      <c r="H149" s="703"/>
      <c r="I149" s="50"/>
      <c r="J149" s="50"/>
      <c r="K149" s="588"/>
      <c r="L149" s="588"/>
      <c r="M149" s="588"/>
      <c r="R149" s="62"/>
      <c r="U149" s="62"/>
      <c r="V149" s="62"/>
      <c r="W149" s="62"/>
    </row>
    <row r="150" spans="1:23" ht="15" customHeight="1" x14ac:dyDescent="0.3">
      <c r="A150" s="50">
        <v>147</v>
      </c>
      <c r="B150" s="553">
        <v>1.2999999999999999E-2</v>
      </c>
      <c r="C150" s="588">
        <f t="shared" si="2"/>
        <v>0.17</v>
      </c>
      <c r="D150" s="703"/>
      <c r="E150" s="50"/>
      <c r="F150" s="553">
        <v>0.01</v>
      </c>
      <c r="G150" s="553">
        <v>0.107</v>
      </c>
      <c r="H150" s="703"/>
      <c r="I150" s="50"/>
      <c r="J150" s="50"/>
      <c r="K150" s="588"/>
      <c r="L150" s="588"/>
      <c r="M150" s="588"/>
      <c r="O150" s="99"/>
      <c r="R150" s="95"/>
      <c r="U150" s="62"/>
      <c r="V150" s="62"/>
      <c r="W150" s="95"/>
    </row>
    <row r="151" spans="1:23" ht="15" customHeight="1" x14ac:dyDescent="0.3">
      <c r="A151" s="50">
        <v>148</v>
      </c>
      <c r="B151" s="553">
        <v>1.2E-2</v>
      </c>
      <c r="C151" s="588">
        <f t="shared" si="2"/>
        <v>0.17</v>
      </c>
      <c r="D151" s="703"/>
      <c r="E151" s="50"/>
      <c r="F151" s="553">
        <v>0.01</v>
      </c>
      <c r="G151" s="553">
        <v>0.108</v>
      </c>
      <c r="H151" s="703"/>
      <c r="I151" s="50"/>
      <c r="J151" s="50"/>
      <c r="K151" s="588"/>
      <c r="L151" s="588"/>
      <c r="M151" s="588"/>
      <c r="O151" s="99"/>
      <c r="R151" s="95"/>
      <c r="U151" s="62"/>
      <c r="V151" s="62"/>
      <c r="W151" s="95"/>
    </row>
    <row r="152" spans="1:23" ht="15" customHeight="1" x14ac:dyDescent="0.3">
      <c r="A152" s="50">
        <v>149</v>
      </c>
      <c r="B152" s="553">
        <v>1.0999999999999999E-2</v>
      </c>
      <c r="C152" s="588">
        <f t="shared" si="2"/>
        <v>0.17</v>
      </c>
      <c r="D152" s="703"/>
      <c r="E152" s="50"/>
      <c r="F152" s="553">
        <v>0.01</v>
      </c>
      <c r="G152" s="553">
        <v>0.109</v>
      </c>
      <c r="H152" s="703"/>
      <c r="I152" s="50"/>
      <c r="J152" s="50"/>
      <c r="K152" s="588"/>
      <c r="L152" s="588"/>
      <c r="M152" s="588"/>
    </row>
    <row r="153" spans="1:23" ht="15" customHeight="1" x14ac:dyDescent="0.3">
      <c r="A153" s="50">
        <v>150</v>
      </c>
      <c r="B153" s="553">
        <v>0.01</v>
      </c>
      <c r="C153" s="588">
        <f t="shared" si="2"/>
        <v>0.17</v>
      </c>
      <c r="D153" s="703"/>
      <c r="E153" s="50"/>
      <c r="F153" s="553">
        <v>0.01</v>
      </c>
      <c r="G153" s="553">
        <v>0.11</v>
      </c>
      <c r="H153" s="703"/>
      <c r="I153" s="50"/>
      <c r="J153" s="50"/>
      <c r="K153" s="588"/>
      <c r="L153" s="588"/>
      <c r="M153" s="588"/>
    </row>
    <row r="154" spans="1:23" x14ac:dyDescent="0.3">
      <c r="A154" s="50">
        <v>151</v>
      </c>
      <c r="B154" s="553">
        <v>0.01</v>
      </c>
      <c r="C154" s="553">
        <v>0.17100000000000001</v>
      </c>
      <c r="D154" s="703"/>
      <c r="E154" s="50"/>
      <c r="F154" s="553">
        <v>0.01</v>
      </c>
      <c r="G154" s="553">
        <v>0.11</v>
      </c>
      <c r="H154" s="50"/>
      <c r="I154" s="50"/>
      <c r="J154" s="50"/>
      <c r="K154" s="588"/>
      <c r="L154" s="588"/>
      <c r="M154" s="588"/>
    </row>
    <row r="155" spans="1:23" x14ac:dyDescent="0.3">
      <c r="A155" s="50">
        <v>152</v>
      </c>
      <c r="B155" s="553">
        <v>0.01</v>
      </c>
      <c r="C155" s="553">
        <v>0.17199999999999999</v>
      </c>
      <c r="D155" s="703"/>
      <c r="E155" s="50"/>
      <c r="F155" s="553">
        <v>0.01</v>
      </c>
      <c r="G155" s="553">
        <v>0.11</v>
      </c>
      <c r="H155" s="50"/>
      <c r="I155" s="50"/>
      <c r="J155" s="50"/>
      <c r="K155" s="588"/>
      <c r="L155" s="588"/>
      <c r="M155" s="588"/>
    </row>
    <row r="156" spans="1:23" x14ac:dyDescent="0.3">
      <c r="A156" s="50">
        <v>153</v>
      </c>
      <c r="B156" s="553">
        <v>0.01</v>
      </c>
      <c r="C156" s="553">
        <v>0.17299999999999999</v>
      </c>
      <c r="D156" s="703"/>
      <c r="E156" s="50"/>
      <c r="F156" s="553">
        <v>0.01</v>
      </c>
      <c r="G156" s="553">
        <v>0.11</v>
      </c>
      <c r="H156" s="50"/>
      <c r="I156" s="50"/>
      <c r="J156" s="50"/>
      <c r="K156" s="588"/>
      <c r="L156" s="588"/>
      <c r="M156" s="588"/>
    </row>
    <row r="157" spans="1:23" x14ac:dyDescent="0.3">
      <c r="A157" s="50">
        <v>154</v>
      </c>
      <c r="B157" s="553">
        <v>0.01</v>
      </c>
      <c r="C157" s="553">
        <v>0.17399999999999999</v>
      </c>
      <c r="D157" s="703"/>
      <c r="E157" s="50"/>
      <c r="F157" s="553">
        <v>0.01</v>
      </c>
      <c r="G157" s="553">
        <v>0.11</v>
      </c>
      <c r="H157" s="50"/>
      <c r="I157" s="50"/>
      <c r="J157" s="50"/>
      <c r="K157" s="588"/>
      <c r="L157" s="588"/>
      <c r="M157" s="588"/>
    </row>
    <row r="158" spans="1:23" x14ac:dyDescent="0.3">
      <c r="A158" s="50">
        <v>155</v>
      </c>
      <c r="B158" s="553">
        <v>0.01</v>
      </c>
      <c r="C158" s="553">
        <v>0.17499999999999999</v>
      </c>
      <c r="D158" s="703"/>
      <c r="E158" s="50"/>
      <c r="F158" s="553">
        <v>0.01</v>
      </c>
      <c r="G158" s="553">
        <v>0.11</v>
      </c>
      <c r="H158" s="50"/>
      <c r="I158" s="50"/>
      <c r="J158" s="50"/>
      <c r="K158" s="588"/>
      <c r="L158" s="588"/>
      <c r="M158" s="588"/>
    </row>
    <row r="159" spans="1:23" x14ac:dyDescent="0.3">
      <c r="A159" s="50">
        <v>156</v>
      </c>
      <c r="B159" s="553">
        <v>0.01</v>
      </c>
      <c r="C159" s="553">
        <v>0.17599999999999999</v>
      </c>
      <c r="D159" s="703"/>
      <c r="E159" s="50"/>
      <c r="F159" s="553">
        <v>0.01</v>
      </c>
      <c r="G159" s="553">
        <v>0.11</v>
      </c>
      <c r="H159" s="50"/>
      <c r="I159" s="50"/>
      <c r="J159" s="50"/>
      <c r="K159" s="588"/>
      <c r="L159" s="588"/>
      <c r="M159" s="588"/>
    </row>
    <row r="160" spans="1:23" x14ac:dyDescent="0.3">
      <c r="A160" s="50">
        <v>157</v>
      </c>
      <c r="B160" s="553">
        <v>0.01</v>
      </c>
      <c r="C160" s="553">
        <v>0.17699999999999999</v>
      </c>
      <c r="D160" s="703"/>
      <c r="E160" s="50"/>
      <c r="F160" s="553">
        <v>0.01</v>
      </c>
      <c r="G160" s="553">
        <v>0.11</v>
      </c>
      <c r="H160" s="50"/>
      <c r="I160" s="50"/>
      <c r="J160" s="50"/>
      <c r="K160" s="588"/>
      <c r="L160" s="588"/>
      <c r="M160" s="588"/>
    </row>
    <row r="161" spans="1:13" x14ac:dyDescent="0.3">
      <c r="A161" s="50">
        <v>158</v>
      </c>
      <c r="B161" s="553">
        <v>0.01</v>
      </c>
      <c r="C161" s="553">
        <v>0.17799999999999999</v>
      </c>
      <c r="D161" s="703"/>
      <c r="E161" s="50"/>
      <c r="F161" s="553">
        <v>0.01</v>
      </c>
      <c r="G161" s="553">
        <v>0.11</v>
      </c>
      <c r="H161" s="50"/>
      <c r="I161" s="50"/>
      <c r="J161" s="50"/>
      <c r="K161" s="588"/>
      <c r="L161" s="588"/>
      <c r="M161" s="588"/>
    </row>
    <row r="162" spans="1:13" x14ac:dyDescent="0.3">
      <c r="A162" s="50">
        <v>159</v>
      </c>
      <c r="B162" s="553">
        <v>0.01</v>
      </c>
      <c r="C162" s="553">
        <v>0.17899999999999999</v>
      </c>
      <c r="D162" s="703"/>
      <c r="E162" s="50"/>
      <c r="F162" s="553">
        <v>0.01</v>
      </c>
      <c r="G162" s="553">
        <v>0.11</v>
      </c>
      <c r="H162" s="50"/>
      <c r="I162" s="50"/>
      <c r="J162" s="50"/>
      <c r="K162" s="588"/>
      <c r="L162" s="588"/>
      <c r="M162" s="588"/>
    </row>
    <row r="163" spans="1:13" x14ac:dyDescent="0.3">
      <c r="A163" s="50">
        <v>160</v>
      </c>
      <c r="B163" s="553">
        <v>0.01</v>
      </c>
      <c r="C163" s="553">
        <v>0.18</v>
      </c>
      <c r="D163" s="703"/>
      <c r="E163" s="50"/>
      <c r="F163" s="553">
        <v>0.01</v>
      </c>
      <c r="G163" s="553">
        <v>0.11</v>
      </c>
      <c r="H163" s="50"/>
      <c r="I163" s="50"/>
      <c r="J163" s="50"/>
      <c r="K163" s="588"/>
      <c r="L163" s="588"/>
      <c r="M163" s="588"/>
    </row>
    <row r="164" spans="1:13" x14ac:dyDescent="0.3">
      <c r="A164" s="50">
        <v>161</v>
      </c>
      <c r="B164" s="553">
        <v>0.01</v>
      </c>
      <c r="C164" s="553">
        <v>0.18</v>
      </c>
      <c r="D164" s="50"/>
      <c r="E164" s="50"/>
      <c r="F164" s="553">
        <v>8.9999999999999993E-3</v>
      </c>
      <c r="G164" s="553">
        <v>0.11</v>
      </c>
      <c r="H164" s="50"/>
      <c r="I164" s="50"/>
      <c r="J164" s="50"/>
      <c r="K164" s="588"/>
      <c r="L164" s="588"/>
      <c r="M164" s="588"/>
    </row>
    <row r="165" spans="1:13" x14ac:dyDescent="0.3">
      <c r="A165" s="50">
        <v>162</v>
      </c>
      <c r="B165" s="553">
        <v>0.01</v>
      </c>
      <c r="C165" s="553">
        <v>0.18</v>
      </c>
      <c r="D165" s="50"/>
      <c r="E165" s="50"/>
      <c r="F165" s="553">
        <v>8.0000000000000002E-3</v>
      </c>
      <c r="G165" s="553">
        <v>0.11</v>
      </c>
      <c r="H165" s="50"/>
      <c r="I165" s="50"/>
      <c r="J165" s="50"/>
      <c r="K165" s="588"/>
      <c r="L165" s="588"/>
      <c r="M165" s="588"/>
    </row>
    <row r="166" spans="1:13" x14ac:dyDescent="0.3">
      <c r="A166" s="50">
        <v>163</v>
      </c>
      <c r="B166" s="553">
        <v>0.01</v>
      </c>
      <c r="C166" s="553">
        <v>0.18</v>
      </c>
      <c r="D166" s="50"/>
      <c r="E166" s="50"/>
      <c r="F166" s="553">
        <v>7.0000000000000001E-3</v>
      </c>
      <c r="G166" s="553">
        <v>0.11</v>
      </c>
      <c r="H166" s="50"/>
      <c r="I166" s="50"/>
      <c r="J166" s="50"/>
      <c r="K166" s="588"/>
      <c r="L166" s="588"/>
      <c r="M166" s="588"/>
    </row>
    <row r="167" spans="1:13" x14ac:dyDescent="0.3">
      <c r="A167" s="50">
        <v>164</v>
      </c>
      <c r="B167" s="553">
        <v>0.01</v>
      </c>
      <c r="C167" s="553">
        <v>0.18</v>
      </c>
      <c r="D167" s="50"/>
      <c r="E167" s="50"/>
      <c r="F167" s="553">
        <v>6.0000000000000001E-3</v>
      </c>
      <c r="G167" s="553">
        <v>0.11</v>
      </c>
      <c r="H167" s="50"/>
      <c r="I167" s="50"/>
      <c r="J167" s="50"/>
      <c r="K167" s="588"/>
      <c r="L167" s="588"/>
      <c r="M167" s="588"/>
    </row>
    <row r="168" spans="1:13" x14ac:dyDescent="0.3">
      <c r="A168" s="50">
        <v>165</v>
      </c>
      <c r="B168" s="553">
        <v>0.01</v>
      </c>
      <c r="C168" s="553">
        <v>0.18</v>
      </c>
      <c r="D168" s="50"/>
      <c r="E168" s="50"/>
      <c r="F168" s="553">
        <v>5.0000000000000001E-3</v>
      </c>
      <c r="G168" s="553">
        <v>0.11</v>
      </c>
      <c r="H168" s="50"/>
      <c r="I168" s="50"/>
      <c r="J168" s="50"/>
      <c r="K168" s="588"/>
      <c r="L168" s="588"/>
      <c r="M168" s="588"/>
    </row>
    <row r="169" spans="1:13" x14ac:dyDescent="0.3">
      <c r="A169" s="50">
        <v>166</v>
      </c>
      <c r="B169" s="553">
        <v>0.01</v>
      </c>
      <c r="C169" s="553">
        <v>0.18</v>
      </c>
      <c r="D169" s="50"/>
      <c r="E169" s="50"/>
      <c r="F169" s="553">
        <v>4.0000000000000001E-3</v>
      </c>
      <c r="G169" s="553">
        <v>0.11</v>
      </c>
      <c r="H169" s="50"/>
      <c r="I169" s="50"/>
      <c r="J169" s="50"/>
      <c r="K169" s="588"/>
      <c r="L169" s="588"/>
      <c r="M169" s="588"/>
    </row>
    <row r="170" spans="1:13" x14ac:dyDescent="0.3">
      <c r="A170" s="50">
        <v>167</v>
      </c>
      <c r="B170" s="553">
        <v>0.01</v>
      </c>
      <c r="C170" s="553">
        <v>0.18</v>
      </c>
      <c r="D170" s="50"/>
      <c r="E170" s="50"/>
      <c r="F170" s="553">
        <v>3.0000000000000001E-3</v>
      </c>
      <c r="G170" s="553">
        <v>0.11</v>
      </c>
      <c r="H170" s="50"/>
      <c r="I170" s="50"/>
      <c r="J170" s="50"/>
      <c r="K170" s="588"/>
      <c r="L170" s="588"/>
      <c r="M170" s="588"/>
    </row>
    <row r="171" spans="1:13" x14ac:dyDescent="0.3">
      <c r="A171" s="50">
        <v>168</v>
      </c>
      <c r="B171" s="553">
        <v>0.01</v>
      </c>
      <c r="C171" s="553">
        <v>0.18</v>
      </c>
      <c r="D171" s="50"/>
      <c r="E171" s="50"/>
      <c r="F171" s="553">
        <v>2E-3</v>
      </c>
      <c r="G171" s="553">
        <v>0.11</v>
      </c>
      <c r="H171" s="50"/>
      <c r="I171" s="50"/>
      <c r="J171" s="50"/>
      <c r="K171" s="588"/>
      <c r="L171" s="588"/>
      <c r="M171" s="588"/>
    </row>
    <row r="172" spans="1:13" x14ac:dyDescent="0.3">
      <c r="A172" s="50">
        <v>169</v>
      </c>
      <c r="B172" s="553">
        <v>0.01</v>
      </c>
      <c r="C172" s="553">
        <v>0.18</v>
      </c>
      <c r="D172" s="50"/>
      <c r="E172" s="50"/>
      <c r="F172" s="553">
        <v>1E-3</v>
      </c>
      <c r="G172" s="553">
        <v>0.11</v>
      </c>
      <c r="H172" s="50"/>
      <c r="I172" s="50"/>
      <c r="J172" s="50"/>
      <c r="K172" s="588"/>
      <c r="L172" s="588"/>
      <c r="M172" s="588"/>
    </row>
    <row r="173" spans="1:13" x14ac:dyDescent="0.3">
      <c r="A173" s="50">
        <v>170</v>
      </c>
      <c r="B173" s="553">
        <v>0.01</v>
      </c>
      <c r="C173" s="553">
        <v>0.18</v>
      </c>
      <c r="D173" s="50"/>
      <c r="E173" s="50"/>
      <c r="F173" s="553">
        <v>0</v>
      </c>
      <c r="G173" s="553">
        <v>0.11</v>
      </c>
      <c r="H173" s="50"/>
      <c r="I173" s="50"/>
      <c r="J173" s="50"/>
      <c r="K173" s="588"/>
      <c r="L173" s="588"/>
      <c r="M173" s="588"/>
    </row>
    <row r="174" spans="1:13" x14ac:dyDescent="0.3">
      <c r="A174" s="50">
        <v>171</v>
      </c>
      <c r="B174" s="553">
        <v>8.9999999999999993E-3</v>
      </c>
      <c r="C174" s="553">
        <v>0.18</v>
      </c>
      <c r="D174" s="703"/>
      <c r="E174" s="50"/>
      <c r="F174" s="553">
        <v>0</v>
      </c>
      <c r="G174" s="553">
        <v>0.11</v>
      </c>
      <c r="H174" s="50"/>
      <c r="I174" s="50"/>
      <c r="J174" s="50"/>
      <c r="K174" s="588"/>
      <c r="L174" s="588"/>
      <c r="M174" s="588"/>
    </row>
    <row r="175" spans="1:13" x14ac:dyDescent="0.3">
      <c r="A175" s="50">
        <v>172</v>
      </c>
      <c r="B175" s="553">
        <v>8.0000000000000002E-3</v>
      </c>
      <c r="C175" s="553">
        <v>0.18</v>
      </c>
      <c r="D175" s="703"/>
      <c r="E175" s="50"/>
      <c r="F175" s="553">
        <v>0</v>
      </c>
      <c r="G175" s="553">
        <v>0.11</v>
      </c>
      <c r="H175" s="50"/>
      <c r="I175" s="50"/>
      <c r="J175" s="50"/>
      <c r="K175" s="588"/>
      <c r="L175" s="588"/>
      <c r="M175" s="588"/>
    </row>
    <row r="176" spans="1:13" x14ac:dyDescent="0.3">
      <c r="A176" s="50">
        <v>173</v>
      </c>
      <c r="B176" s="553">
        <v>7.0000000000000001E-3</v>
      </c>
      <c r="C176" s="553">
        <v>0.18</v>
      </c>
      <c r="D176" s="703"/>
      <c r="E176" s="50"/>
      <c r="F176" s="553">
        <v>0</v>
      </c>
      <c r="G176" s="553">
        <v>0.11</v>
      </c>
      <c r="H176" s="50"/>
      <c r="I176" s="50"/>
      <c r="J176" s="50"/>
      <c r="K176" s="588"/>
      <c r="L176" s="588"/>
      <c r="M176" s="588"/>
    </row>
    <row r="177" spans="1:13" x14ac:dyDescent="0.3">
      <c r="A177" s="50">
        <v>174</v>
      </c>
      <c r="B177" s="553">
        <v>6.0000000000000001E-3</v>
      </c>
      <c r="C177" s="553">
        <v>0.18</v>
      </c>
      <c r="D177" s="703"/>
      <c r="E177" s="50"/>
      <c r="F177" s="553">
        <v>0</v>
      </c>
      <c r="G177" s="553">
        <v>0.11</v>
      </c>
      <c r="H177" s="50"/>
      <c r="I177" s="50"/>
      <c r="J177" s="50"/>
      <c r="K177" s="588"/>
      <c r="L177" s="588"/>
      <c r="M177" s="588"/>
    </row>
    <row r="178" spans="1:13" x14ac:dyDescent="0.3">
      <c r="A178" s="50">
        <v>175</v>
      </c>
      <c r="B178" s="553">
        <v>5.0000000000000001E-3</v>
      </c>
      <c r="C178" s="553">
        <v>0.18</v>
      </c>
      <c r="D178" s="703"/>
      <c r="E178" s="50"/>
      <c r="F178" s="553">
        <v>0</v>
      </c>
      <c r="G178" s="553">
        <v>0.11</v>
      </c>
      <c r="H178" s="50"/>
      <c r="I178" s="50"/>
      <c r="J178" s="50"/>
      <c r="K178" s="588"/>
      <c r="L178" s="588"/>
      <c r="M178" s="588"/>
    </row>
    <row r="179" spans="1:13" x14ac:dyDescent="0.3">
      <c r="A179" s="50">
        <v>176</v>
      </c>
      <c r="B179" s="553">
        <v>4.0000000000000001E-3</v>
      </c>
      <c r="C179" s="553">
        <v>0.18</v>
      </c>
      <c r="D179" s="703"/>
      <c r="E179" s="50"/>
      <c r="F179" s="553">
        <v>0</v>
      </c>
      <c r="G179" s="553">
        <v>0.11</v>
      </c>
      <c r="H179" s="50"/>
      <c r="I179" s="50"/>
      <c r="J179" s="50"/>
      <c r="K179" s="588"/>
      <c r="L179" s="588"/>
      <c r="M179" s="588"/>
    </row>
    <row r="180" spans="1:13" x14ac:dyDescent="0.3">
      <c r="A180" s="50">
        <v>177</v>
      </c>
      <c r="B180" s="553">
        <v>3.0000000000000001E-3</v>
      </c>
      <c r="C180" s="553">
        <v>0.18</v>
      </c>
      <c r="D180" s="703"/>
      <c r="E180" s="50"/>
      <c r="F180" s="553">
        <v>0</v>
      </c>
      <c r="G180" s="553">
        <v>0.11</v>
      </c>
      <c r="H180" s="50"/>
      <c r="I180" s="50"/>
      <c r="J180" s="50"/>
      <c r="K180" s="588"/>
      <c r="L180" s="588"/>
      <c r="M180" s="588"/>
    </row>
    <row r="181" spans="1:13" x14ac:dyDescent="0.3">
      <c r="A181" s="50">
        <v>178</v>
      </c>
      <c r="B181" s="553">
        <v>2E-3</v>
      </c>
      <c r="C181" s="553">
        <v>0.18</v>
      </c>
      <c r="D181" s="703"/>
      <c r="E181" s="50"/>
      <c r="F181" s="553">
        <v>0</v>
      </c>
      <c r="G181" s="553">
        <v>0.11</v>
      </c>
      <c r="H181" s="50"/>
      <c r="I181" s="50"/>
      <c r="J181" s="50"/>
      <c r="K181" s="588"/>
      <c r="L181" s="588"/>
      <c r="M181" s="588"/>
    </row>
    <row r="182" spans="1:13" x14ac:dyDescent="0.3">
      <c r="A182" s="50">
        <v>179</v>
      </c>
      <c r="B182" s="553">
        <v>1E-3</v>
      </c>
      <c r="C182" s="553">
        <v>0.18</v>
      </c>
      <c r="D182" s="703"/>
      <c r="E182" s="50"/>
      <c r="F182" s="553">
        <v>0</v>
      </c>
      <c r="G182" s="553">
        <v>0.11</v>
      </c>
      <c r="H182" s="50"/>
      <c r="I182" s="50"/>
      <c r="J182" s="50"/>
      <c r="K182" s="588"/>
      <c r="L182" s="588"/>
      <c r="M182" s="588"/>
    </row>
    <row r="183" spans="1:13" x14ac:dyDescent="0.3">
      <c r="A183" s="50">
        <v>180</v>
      </c>
      <c r="B183" s="553">
        <v>0</v>
      </c>
      <c r="C183" s="553">
        <v>0.18</v>
      </c>
      <c r="D183" s="703"/>
      <c r="E183" s="50"/>
      <c r="F183" s="553">
        <v>0</v>
      </c>
      <c r="G183" s="553">
        <v>0.11</v>
      </c>
      <c r="H183" s="703"/>
      <c r="I183" s="50"/>
      <c r="J183" s="50"/>
      <c r="K183" s="588"/>
      <c r="L183" s="588"/>
      <c r="M183" s="588"/>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1619</v>
      </c>
    </row>
    <row r="491" spans="1:1" x14ac:dyDescent="0.3">
      <c r="A491" s="14" t="s">
        <v>1620</v>
      </c>
    </row>
    <row r="492" spans="1:1" x14ac:dyDescent="0.3">
      <c r="A492" s="14" t="s">
        <v>839</v>
      </c>
    </row>
    <row r="493" spans="1:1" x14ac:dyDescent="0.3">
      <c r="A493" s="14" t="s">
        <v>840</v>
      </c>
    </row>
    <row r="494" spans="1:1" x14ac:dyDescent="0.3">
      <c r="A494" s="14" t="s">
        <v>841</v>
      </c>
    </row>
    <row r="495" spans="1:1" x14ac:dyDescent="0.3">
      <c r="A495" s="14" t="s">
        <v>842</v>
      </c>
    </row>
    <row r="496" spans="1:1" x14ac:dyDescent="0.3">
      <c r="A496" s="14" t="s">
        <v>843</v>
      </c>
    </row>
    <row r="497" spans="1:1" x14ac:dyDescent="0.3">
      <c r="A497" s="14" t="s">
        <v>48</v>
      </c>
    </row>
    <row r="498" spans="1:1" x14ac:dyDescent="0.3">
      <c r="A498" s="14" t="s">
        <v>1589</v>
      </c>
    </row>
    <row r="499" spans="1:1" x14ac:dyDescent="0.3">
      <c r="A499" s="14" t="s">
        <v>1590</v>
      </c>
    </row>
    <row r="500" spans="1:1" x14ac:dyDescent="0.3">
      <c r="A500" s="14" t="s">
        <v>344</v>
      </c>
    </row>
    <row r="501" spans="1:1" x14ac:dyDescent="0.3">
      <c r="A501" s="14" t="s">
        <v>1098</v>
      </c>
    </row>
    <row r="502" spans="1:1" x14ac:dyDescent="0.3">
      <c r="A502" s="14" t="s">
        <v>1099</v>
      </c>
    </row>
    <row r="503" spans="1:1" x14ac:dyDescent="0.3">
      <c r="A503" s="14" t="s">
        <v>1100</v>
      </c>
    </row>
    <row r="504" spans="1:1" x14ac:dyDescent="0.3">
      <c r="A504" s="14" t="s">
        <v>1101</v>
      </c>
    </row>
    <row r="505" spans="1:1" x14ac:dyDescent="0.3">
      <c r="A505" s="14" t="s">
        <v>1102</v>
      </c>
    </row>
    <row r="506" spans="1:1" x14ac:dyDescent="0.3">
      <c r="A506" s="14" t="s">
        <v>1103</v>
      </c>
    </row>
    <row r="507" spans="1:1" x14ac:dyDescent="0.3">
      <c r="A507" s="14" t="s">
        <v>369</v>
      </c>
    </row>
    <row r="508" spans="1:1" x14ac:dyDescent="0.3">
      <c r="A508" s="14" t="s">
        <v>370</v>
      </c>
    </row>
    <row r="509" spans="1:1" x14ac:dyDescent="0.3">
      <c r="A509" s="14" t="s">
        <v>371</v>
      </c>
    </row>
    <row r="510" spans="1:1" x14ac:dyDescent="0.3">
      <c r="A510" s="14" t="s">
        <v>372</v>
      </c>
    </row>
    <row r="511" spans="1:1" x14ac:dyDescent="0.3">
      <c r="A511" s="14" t="s">
        <v>373</v>
      </c>
    </row>
    <row r="512" spans="1:1" x14ac:dyDescent="0.3">
      <c r="A512" s="14" t="s">
        <v>374</v>
      </c>
    </row>
    <row r="513" spans="1:1" x14ac:dyDescent="0.3">
      <c r="A513" s="14" t="s">
        <v>375</v>
      </c>
    </row>
    <row r="514" spans="1:1" x14ac:dyDescent="0.3">
      <c r="A514" s="14" t="s">
        <v>376</v>
      </c>
    </row>
    <row r="515" spans="1:1" x14ac:dyDescent="0.3">
      <c r="A515" s="14" t="s">
        <v>1031</v>
      </c>
    </row>
    <row r="516" spans="1:1" x14ac:dyDescent="0.3">
      <c r="A516" s="14" t="s">
        <v>1032</v>
      </c>
    </row>
    <row r="517" spans="1:1" x14ac:dyDescent="0.3">
      <c r="A517" s="14" t="s">
        <v>1033</v>
      </c>
    </row>
    <row r="518" spans="1:1" x14ac:dyDescent="0.3">
      <c r="A518" s="14" t="s">
        <v>1034</v>
      </c>
    </row>
    <row r="519" spans="1:1" x14ac:dyDescent="0.3">
      <c r="A519" s="14" t="s">
        <v>1035</v>
      </c>
    </row>
    <row r="520" spans="1:1" x14ac:dyDescent="0.3">
      <c r="A520" s="14" t="s">
        <v>1036</v>
      </c>
    </row>
    <row r="521" spans="1:1" x14ac:dyDescent="0.3">
      <c r="A521" s="14" t="s">
        <v>1037</v>
      </c>
    </row>
    <row r="522" spans="1:1" x14ac:dyDescent="0.3">
      <c r="A522" s="14" t="s">
        <v>856</v>
      </c>
    </row>
    <row r="523" spans="1:1" x14ac:dyDescent="0.3">
      <c r="A523" s="14" t="s">
        <v>857</v>
      </c>
    </row>
    <row r="524" spans="1:1" x14ac:dyDescent="0.3">
      <c r="A524" s="14" t="s">
        <v>858</v>
      </c>
    </row>
    <row r="525" spans="1:1" x14ac:dyDescent="0.3">
      <c r="A525" s="14" t="s">
        <v>385</v>
      </c>
    </row>
    <row r="526" spans="1:1" x14ac:dyDescent="0.3">
      <c r="A526" s="14" t="s">
        <v>386</v>
      </c>
    </row>
    <row r="527" spans="1:1" x14ac:dyDescent="0.3">
      <c r="A527" s="14" t="s">
        <v>387</v>
      </c>
    </row>
    <row r="528" spans="1:1" x14ac:dyDescent="0.3">
      <c r="A528" s="14" t="s">
        <v>388</v>
      </c>
    </row>
    <row r="529" spans="1:1" x14ac:dyDescent="0.3">
      <c r="A529" s="14" t="s">
        <v>604</v>
      </c>
    </row>
    <row r="530" spans="1:1" x14ac:dyDescent="0.3">
      <c r="A530" s="14" t="s">
        <v>1918</v>
      </c>
    </row>
    <row r="531" spans="1:1" x14ac:dyDescent="0.3">
      <c r="A531" s="14" t="s">
        <v>1919</v>
      </c>
    </row>
    <row r="532" spans="1:1" x14ac:dyDescent="0.3">
      <c r="A532" s="14" t="s">
        <v>1920</v>
      </c>
    </row>
    <row r="533" spans="1:1" x14ac:dyDescent="0.3">
      <c r="A533" s="14" t="s">
        <v>582</v>
      </c>
    </row>
    <row r="534" spans="1:1" x14ac:dyDescent="0.3">
      <c r="A534" s="14" t="s">
        <v>1676</v>
      </c>
    </row>
    <row r="535" spans="1:1" x14ac:dyDescent="0.3">
      <c r="A535" s="14" t="s">
        <v>499</v>
      </c>
    </row>
    <row r="536" spans="1:1" x14ac:dyDescent="0.3">
      <c r="A536" s="14" t="s">
        <v>500</v>
      </c>
    </row>
    <row r="537" spans="1:1" x14ac:dyDescent="0.3">
      <c r="A537" s="14" t="s">
        <v>501</v>
      </c>
    </row>
    <row r="538" spans="1:1" x14ac:dyDescent="0.3">
      <c r="A538" s="14" t="s">
        <v>502</v>
      </c>
    </row>
    <row r="539" spans="1:1" x14ac:dyDescent="0.3">
      <c r="A539" s="14" t="s">
        <v>503</v>
      </c>
    </row>
    <row r="540" spans="1:1" x14ac:dyDescent="0.3">
      <c r="A540" s="14" t="s">
        <v>504</v>
      </c>
    </row>
    <row r="541" spans="1:1" x14ac:dyDescent="0.3">
      <c r="A541" s="14" t="s">
        <v>538</v>
      </c>
    </row>
    <row r="542" spans="1:1" x14ac:dyDescent="0.3">
      <c r="A542" s="14" t="s">
        <v>1704</v>
      </c>
    </row>
    <row r="543" spans="1:1" x14ac:dyDescent="0.3">
      <c r="A543" s="14" t="s">
        <v>933</v>
      </c>
    </row>
    <row r="544" spans="1:1" x14ac:dyDescent="0.3">
      <c r="A544" s="14" t="s">
        <v>934</v>
      </c>
    </row>
    <row r="545" spans="1:1" x14ac:dyDescent="0.3">
      <c r="A545" s="14" t="s">
        <v>935</v>
      </c>
    </row>
    <row r="546" spans="1:1" x14ac:dyDescent="0.3">
      <c r="A546" s="14" t="s">
        <v>936</v>
      </c>
    </row>
    <row r="547" spans="1:1" x14ac:dyDescent="0.3">
      <c r="A547" s="14" t="s">
        <v>937</v>
      </c>
    </row>
    <row r="548" spans="1:1" x14ac:dyDescent="0.3">
      <c r="A548" s="14" t="s">
        <v>938</v>
      </c>
    </row>
    <row r="549" spans="1:1" x14ac:dyDescent="0.3">
      <c r="A549" s="14" t="s">
        <v>939</v>
      </c>
    </row>
    <row r="550" spans="1:1" x14ac:dyDescent="0.3">
      <c r="A550" s="14" t="s">
        <v>940</v>
      </c>
    </row>
    <row r="551" spans="1:1" x14ac:dyDescent="0.3">
      <c r="A551" s="14" t="s">
        <v>94</v>
      </c>
    </row>
    <row r="552" spans="1:1" x14ac:dyDescent="0.3">
      <c r="A552" s="14" t="s">
        <v>95</v>
      </c>
    </row>
    <row r="553" spans="1:1" x14ac:dyDescent="0.3">
      <c r="A553" s="14" t="s">
        <v>96</v>
      </c>
    </row>
    <row r="554" spans="1:1" x14ac:dyDescent="0.3">
      <c r="A554" s="14" t="s">
        <v>97</v>
      </c>
    </row>
    <row r="555" spans="1:1" x14ac:dyDescent="0.3">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 x14ac:dyDescent="0.3"/>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3">
      <c r="A1" s="270" t="s">
        <v>2303</v>
      </c>
      <c r="B1" s="50" t="s">
        <v>1962</v>
      </c>
      <c r="C1" s="50" t="s">
        <v>1962</v>
      </c>
      <c r="D1" s="50" t="s">
        <v>1962</v>
      </c>
      <c r="E1" s="50" t="s">
        <v>1962</v>
      </c>
      <c r="F1" s="50" t="s">
        <v>1962</v>
      </c>
      <c r="G1" s="50" t="s">
        <v>1962</v>
      </c>
      <c r="H1" s="50" t="s">
        <v>1962</v>
      </c>
      <c r="I1" s="50" t="s">
        <v>1962</v>
      </c>
      <c r="J1" s="50" t="s">
        <v>1962</v>
      </c>
      <c r="K1" s="50" t="s">
        <v>1962</v>
      </c>
      <c r="L1" s="50" t="s">
        <v>1962</v>
      </c>
      <c r="M1" s="50" t="s">
        <v>1962</v>
      </c>
      <c r="N1" s="39"/>
    </row>
    <row r="2" spans="1:93" ht="100.5" customHeight="1" x14ac:dyDescent="0.3">
      <c r="A2" s="694" t="s">
        <v>1963</v>
      </c>
      <c r="B2" s="694" t="s">
        <v>195</v>
      </c>
      <c r="C2" s="694" t="s">
        <v>1939</v>
      </c>
      <c r="D2" s="694" t="s">
        <v>1940</v>
      </c>
      <c r="E2" s="694" t="s">
        <v>690</v>
      </c>
      <c r="F2" s="694" t="s">
        <v>691</v>
      </c>
      <c r="G2" s="694" t="s">
        <v>694</v>
      </c>
      <c r="H2" s="694" t="s">
        <v>695</v>
      </c>
      <c r="I2" s="694" t="s">
        <v>697</v>
      </c>
      <c r="J2" s="694" t="s">
        <v>699</v>
      </c>
      <c r="K2" s="694" t="s">
        <v>1964</v>
      </c>
      <c r="L2" s="694" t="s">
        <v>592</v>
      </c>
      <c r="M2" s="694" t="s">
        <v>1617</v>
      </c>
      <c r="N2" s="329"/>
      <c r="O2" s="275" t="s">
        <v>1470</v>
      </c>
      <c r="P2" s="685" t="s">
        <v>2319</v>
      </c>
      <c r="Q2" s="685" t="s">
        <v>1306</v>
      </c>
      <c r="R2" s="685" t="s">
        <v>2320</v>
      </c>
      <c r="S2" s="328"/>
      <c r="T2" s="327"/>
      <c r="U2" s="696" t="s">
        <v>2319</v>
      </c>
      <c r="V2" s="696" t="s">
        <v>1306</v>
      </c>
      <c r="W2" s="696" t="s">
        <v>2320</v>
      </c>
      <c r="X2" s="327"/>
      <c r="Y2" s="593" t="s">
        <v>1471</v>
      </c>
      <c r="Z2" s="696" t="s">
        <v>2321</v>
      </c>
      <c r="AA2" s="696" t="s">
        <v>1306</v>
      </c>
      <c r="AB2" s="696" t="s">
        <v>2322</v>
      </c>
      <c r="AC2" s="62"/>
      <c r="AE2" s="696" t="s">
        <v>2321</v>
      </c>
      <c r="AF2" s="696" t="s">
        <v>1306</v>
      </c>
      <c r="AG2" s="696" t="s">
        <v>2322</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3">
      <c r="A3" s="50">
        <v>0</v>
      </c>
      <c r="B3" s="194">
        <v>0.09</v>
      </c>
      <c r="C3" s="194">
        <v>0.33</v>
      </c>
      <c r="D3" s="194">
        <v>0.03</v>
      </c>
      <c r="E3" s="194">
        <v>0.33</v>
      </c>
      <c r="F3" s="194">
        <v>0.08</v>
      </c>
      <c r="G3" s="194">
        <v>0.33</v>
      </c>
      <c r="H3" s="194">
        <v>0.04</v>
      </c>
      <c r="I3" s="194">
        <v>0.33</v>
      </c>
      <c r="J3" s="194">
        <v>0.05</v>
      </c>
      <c r="K3" s="194">
        <v>0.33</v>
      </c>
      <c r="L3" s="194">
        <v>7.0000000000000007E-2</v>
      </c>
      <c r="M3" s="194">
        <v>0.33</v>
      </c>
      <c r="O3" s="275" t="s">
        <v>195</v>
      </c>
      <c r="P3" s="585" t="str">
        <f>IF('Hip-Right'!T9="","",'Hip-Right'!T9)</f>
        <v/>
      </c>
      <c r="Q3" s="585" t="str">
        <f>IF(P3="","",ROUND(P3,0))</f>
        <v/>
      </c>
      <c r="R3" s="194">
        <f>IF(Q3="",0,VLOOKUP(Q3,$A$3:$N$103,2))</f>
        <v>0</v>
      </c>
      <c r="T3" s="147" t="s">
        <v>1596</v>
      </c>
      <c r="U3" s="585" t="str">
        <f>IF('Hip-Right'!V9="","",'Hip-Right'!V9)</f>
        <v/>
      </c>
      <c r="V3" s="585" t="str">
        <f>IF(U3="","",ROUND(U3,0))</f>
        <v/>
      </c>
      <c r="W3" s="194">
        <f>IF(V3="",0,VLOOKUP(V3,$A$3:$N$103,2))</f>
        <v>0</v>
      </c>
      <c r="Y3" s="275" t="s">
        <v>195</v>
      </c>
      <c r="Z3" s="585" t="str">
        <f>IF('Hip-Left'!T9="","",'Hip-Left'!T9)</f>
        <v/>
      </c>
      <c r="AA3" s="585" t="str">
        <f t="shared" ref="AA3:AA14" si="0">IF(Z3="","",ROUND(Z3,0))</f>
        <v/>
      </c>
      <c r="AB3" s="194">
        <f>IF(AA3="",0,VLOOKUP(AA3,$A$3:$N$103,2))</f>
        <v>0</v>
      </c>
      <c r="AC3" s="62"/>
      <c r="AD3" s="147" t="s">
        <v>1596</v>
      </c>
      <c r="AE3" s="585" t="str">
        <f>IF('Hip-Left'!V9="","",'Hip-Left'!V9)</f>
        <v/>
      </c>
      <c r="AF3" s="585" t="str">
        <f>IF(AE3="","",ROUND(AE3,0))</f>
        <v/>
      </c>
      <c r="AG3" s="194">
        <f>IF(AF3="",0,VLOOKUP(AF3,$A$3:$N$103,2))</f>
        <v>0</v>
      </c>
    </row>
    <row r="4" spans="1:93" ht="15" customHeight="1" x14ac:dyDescent="0.3">
      <c r="A4" s="50">
        <v>1</v>
      </c>
      <c r="B4" s="194">
        <v>8.8999999999999996E-2</v>
      </c>
      <c r="C4" s="194">
        <v>0.32700000000000001</v>
      </c>
      <c r="D4" s="194">
        <v>2.9000000000000001E-2</v>
      </c>
      <c r="E4" s="194">
        <v>0.33500000000000002</v>
      </c>
      <c r="F4" s="194">
        <v>7.8E-2</v>
      </c>
      <c r="G4" s="194">
        <v>0.33400000000000002</v>
      </c>
      <c r="H4" s="194">
        <v>3.7999999999999999E-2</v>
      </c>
      <c r="I4" s="194">
        <v>0.33700000000000002</v>
      </c>
      <c r="J4" s="194">
        <v>4.9000000000000002E-2</v>
      </c>
      <c r="K4" s="194">
        <v>0.33400000000000002</v>
      </c>
      <c r="L4" s="194">
        <v>6.8000000000000005E-2</v>
      </c>
      <c r="M4" s="194">
        <v>0.33300000000000002</v>
      </c>
      <c r="O4" s="275" t="s">
        <v>1939</v>
      </c>
      <c r="P4" s="585" t="str">
        <f>IF('Hip-Right'!T10="","",'Hip-Right'!T10)</f>
        <v/>
      </c>
      <c r="Q4" s="585" t="str">
        <f t="shared" ref="Q4:Q14" si="1">IF(P4="","",ROUND(P4,0))</f>
        <v/>
      </c>
      <c r="R4" s="194">
        <f>IF(Q4="",0,VLOOKUP(Q4,$A$3:$N$103,3))</f>
        <v>0</v>
      </c>
      <c r="T4" s="147"/>
      <c r="U4" s="585"/>
      <c r="V4" s="585"/>
      <c r="W4" s="194"/>
      <c r="Y4" s="275" t="s">
        <v>1939</v>
      </c>
      <c r="Z4" s="585" t="str">
        <f>IF('Hip-Left'!T10="","",'Hip-Left'!T10)</f>
        <v/>
      </c>
      <c r="AA4" s="585" t="str">
        <f t="shared" si="0"/>
        <v/>
      </c>
      <c r="AB4" s="194">
        <f>IF(AA4="",0,VLOOKUP(AA4,$A$3:$N$103,3))</f>
        <v>0</v>
      </c>
      <c r="AC4" s="62"/>
      <c r="AD4" s="147"/>
      <c r="AE4" s="585"/>
      <c r="AF4" s="585"/>
      <c r="AG4" s="194"/>
    </row>
    <row r="5" spans="1:93" ht="15" customHeight="1" x14ac:dyDescent="0.3">
      <c r="A5" s="50">
        <v>2</v>
      </c>
      <c r="B5" s="194">
        <v>8.7999999999999995E-2</v>
      </c>
      <c r="C5" s="194">
        <v>0.32400000000000001</v>
      </c>
      <c r="D5" s="194">
        <v>2.8000000000000001E-2</v>
      </c>
      <c r="E5" s="194">
        <v>0.34</v>
      </c>
      <c r="F5" s="194">
        <v>7.5999999999999998E-2</v>
      </c>
      <c r="G5" s="194">
        <v>0.33800000000000002</v>
      </c>
      <c r="H5" s="194">
        <v>3.5999999999999997E-2</v>
      </c>
      <c r="I5" s="194">
        <v>0.34399999999999997</v>
      </c>
      <c r="J5" s="194">
        <v>4.8000000000000001E-2</v>
      </c>
      <c r="K5" s="194">
        <v>0.33800000000000002</v>
      </c>
      <c r="L5" s="194">
        <v>6.6000000000000003E-2</v>
      </c>
      <c r="M5" s="194">
        <v>0.33600000000000002</v>
      </c>
      <c r="O5" s="275" t="s">
        <v>1940</v>
      </c>
      <c r="P5" s="585" t="str">
        <f>IF('Hip-Right'!T11="","",'Hip-Right'!T11)</f>
        <v/>
      </c>
      <c r="Q5" s="585" t="str">
        <f t="shared" si="1"/>
        <v/>
      </c>
      <c r="R5" s="194">
        <f>IF(Q5="",0,VLOOKUP(Q5,$A$3:$N$103,4))</f>
        <v>0</v>
      </c>
      <c r="T5" s="147" t="s">
        <v>1596</v>
      </c>
      <c r="U5" s="585" t="str">
        <f>IF('Hip-Right'!V11="","",'Hip-Right'!V11)</f>
        <v/>
      </c>
      <c r="V5" s="585" t="str">
        <f>IF(U5="","",ROUND(U5,0))</f>
        <v/>
      </c>
      <c r="W5" s="194">
        <f>IF(V5="",0,VLOOKUP(V5,$A$3:$N$103,4))</f>
        <v>0</v>
      </c>
      <c r="Y5" s="275" t="s">
        <v>1940</v>
      </c>
      <c r="Z5" s="585" t="str">
        <f>IF('Hip-Left'!T11="","",'Hip-Left'!T11)</f>
        <v/>
      </c>
      <c r="AA5" s="585" t="str">
        <f t="shared" si="0"/>
        <v/>
      </c>
      <c r="AB5" s="194">
        <f>IF(AA5="",0,VLOOKUP(AA5,$A$3:$N$103,4))</f>
        <v>0</v>
      </c>
      <c r="AC5" s="62"/>
      <c r="AD5" s="147" t="s">
        <v>1596</v>
      </c>
      <c r="AE5" s="585" t="str">
        <f>IF('Hip-Left'!V11="","",'Hip-Left'!V11)</f>
        <v/>
      </c>
      <c r="AF5" s="585" t="str">
        <f>IF(AE5="","",ROUND(AE5,0))</f>
        <v/>
      </c>
      <c r="AG5" s="194">
        <f>IF(AF5="",0,VLOOKUP(AF5,$A$3:$N$103,4))</f>
        <v>0</v>
      </c>
    </row>
    <row r="6" spans="1:93" ht="15" customHeight="1" x14ac:dyDescent="0.3">
      <c r="A6" s="50">
        <v>3</v>
      </c>
      <c r="B6" s="194">
        <v>8.6999999999999994E-2</v>
      </c>
      <c r="C6" s="194">
        <v>0.32100000000000001</v>
      </c>
      <c r="D6" s="194">
        <v>2.7E-2</v>
      </c>
      <c r="E6" s="194">
        <v>0.34499999999999997</v>
      </c>
      <c r="F6" s="194">
        <v>7.3999999999999996E-2</v>
      </c>
      <c r="G6" s="194">
        <v>0.34200000000000003</v>
      </c>
      <c r="H6" s="194">
        <v>3.4000000000000002E-2</v>
      </c>
      <c r="I6" s="194">
        <v>0.35099999999999998</v>
      </c>
      <c r="J6" s="194">
        <v>4.7E-2</v>
      </c>
      <c r="K6" s="194">
        <v>0.34200000000000003</v>
      </c>
      <c r="L6" s="194">
        <v>6.4000000000000001E-2</v>
      </c>
      <c r="M6" s="194">
        <v>0.33900000000000002</v>
      </c>
      <c r="O6" s="275" t="s">
        <v>690</v>
      </c>
      <c r="P6" s="585" t="str">
        <f>IF('Hip-Right'!T12="","",'Hip-Right'!T12)</f>
        <v/>
      </c>
      <c r="Q6" s="585" t="str">
        <f t="shared" si="1"/>
        <v/>
      </c>
      <c r="R6" s="194">
        <f>IF(Q6="",0,VLOOKUP(Q6,$A$3:$N$103,5))</f>
        <v>0</v>
      </c>
      <c r="T6" s="147"/>
      <c r="U6" s="147"/>
      <c r="V6" s="147"/>
      <c r="W6" s="147"/>
      <c r="Y6" s="275" t="s">
        <v>690</v>
      </c>
      <c r="Z6" s="585" t="str">
        <f>IF('Hip-Left'!T12="","",'Hip-Left'!T12)</f>
        <v/>
      </c>
      <c r="AA6" s="585" t="str">
        <f t="shared" si="0"/>
        <v/>
      </c>
      <c r="AB6" s="194">
        <f>IF(AA6="",0,VLOOKUP(AA6,$A$3:$N$103,5))</f>
        <v>0</v>
      </c>
      <c r="AC6" s="62"/>
      <c r="AD6" s="147"/>
      <c r="AE6" s="147"/>
      <c r="AF6" s="147"/>
      <c r="AG6" s="147"/>
    </row>
    <row r="7" spans="1:93" ht="15" customHeight="1" x14ac:dyDescent="0.3">
      <c r="A7" s="50">
        <v>4</v>
      </c>
      <c r="B7" s="194">
        <v>8.5999999999999993E-2</v>
      </c>
      <c r="C7" s="194">
        <v>0.318</v>
      </c>
      <c r="D7" s="194">
        <v>2.5999999999999999E-2</v>
      </c>
      <c r="E7" s="194">
        <v>0.35</v>
      </c>
      <c r="F7" s="194">
        <v>7.1999999999999995E-2</v>
      </c>
      <c r="G7" s="194">
        <v>0.34599999999999997</v>
      </c>
      <c r="H7" s="194">
        <v>3.2000000000000001E-2</v>
      </c>
      <c r="I7" s="194">
        <v>0.35799999999999998</v>
      </c>
      <c r="J7" s="194">
        <v>4.5999999999999999E-2</v>
      </c>
      <c r="K7" s="194">
        <v>0.34599999999999997</v>
      </c>
      <c r="L7" s="194">
        <v>6.2E-2</v>
      </c>
      <c r="M7" s="194">
        <v>0.34200000000000003</v>
      </c>
      <c r="O7" s="50" t="s">
        <v>691</v>
      </c>
      <c r="P7" s="585" t="str">
        <f>IF('Hip-Right'!T13="","",'Hip-Right'!T13)</f>
        <v/>
      </c>
      <c r="Q7" s="585" t="str">
        <f t="shared" si="1"/>
        <v/>
      </c>
      <c r="R7" s="194">
        <f>IF(Q7="",0,VLOOKUP(Q7,$A$3:$N$103,6))</f>
        <v>0</v>
      </c>
      <c r="T7" s="147" t="s">
        <v>1618</v>
      </c>
      <c r="U7" s="585" t="str">
        <f>IF('Hip-Right'!V13="","",'Hip-Right'!V13)</f>
        <v/>
      </c>
      <c r="V7" s="585" t="str">
        <f>IF(U7="","",ROUND(U7,0))</f>
        <v/>
      </c>
      <c r="W7" s="194">
        <f>IF(V7="",0,VLOOKUP(V7,$A$3:$N$103,6))</f>
        <v>0</v>
      </c>
      <c r="Y7" s="50" t="s">
        <v>691</v>
      </c>
      <c r="Z7" s="585" t="str">
        <f>IF('Hip-Left'!T13="","",'Hip-Left'!T13)</f>
        <v/>
      </c>
      <c r="AA7" s="585" t="str">
        <f t="shared" si="0"/>
        <v/>
      </c>
      <c r="AB7" s="194">
        <f>IF(AA7="",0,VLOOKUP(AA7,$A$3:$N$103,6))</f>
        <v>0</v>
      </c>
      <c r="AC7" s="62"/>
      <c r="AD7" s="147" t="s">
        <v>1618</v>
      </c>
      <c r="AE7" s="585" t="str">
        <f>IF('Hip-Left'!V13="","",'Hip-Left'!V13)</f>
        <v/>
      </c>
      <c r="AF7" s="585" t="str">
        <f>IF(AE7="","",ROUND(AE7,0))</f>
        <v/>
      </c>
      <c r="AG7" s="194">
        <f>IF(AF7="",0,VLOOKUP(AF7,$A$3:$N$103,6))</f>
        <v>0</v>
      </c>
    </row>
    <row r="8" spans="1:93" ht="15" customHeight="1" x14ac:dyDescent="0.3">
      <c r="A8" s="50">
        <v>5</v>
      </c>
      <c r="B8" s="194">
        <v>8.5000000000000006E-2</v>
      </c>
      <c r="C8" s="194">
        <v>0.315</v>
      </c>
      <c r="D8" s="194">
        <v>2.5000000000000001E-2</v>
      </c>
      <c r="E8" s="194">
        <v>0.35499999999999998</v>
      </c>
      <c r="F8" s="194">
        <v>7.0000000000000007E-2</v>
      </c>
      <c r="G8" s="194">
        <v>0.35</v>
      </c>
      <c r="H8" s="194">
        <v>0.03</v>
      </c>
      <c r="I8" s="194">
        <v>0.36499999999999999</v>
      </c>
      <c r="J8" s="194">
        <v>4.4999999999999998E-2</v>
      </c>
      <c r="K8" s="194">
        <v>0.35</v>
      </c>
      <c r="L8" s="194">
        <v>0.06</v>
      </c>
      <c r="M8" s="194">
        <v>0.34499999999999997</v>
      </c>
      <c r="O8" s="50" t="s">
        <v>694</v>
      </c>
      <c r="P8" s="585" t="str">
        <f>IF('Hip-Right'!T14="","",'Hip-Right'!T14)</f>
        <v/>
      </c>
      <c r="Q8" s="585" t="str">
        <f t="shared" si="1"/>
        <v/>
      </c>
      <c r="R8" s="194">
        <f>IF(Q8="",0,VLOOKUP(Q8,$A$3:$N$103,7))</f>
        <v>0</v>
      </c>
      <c r="T8" s="147"/>
      <c r="U8" s="147"/>
      <c r="V8" s="147"/>
      <c r="W8" s="147"/>
      <c r="Y8" s="50" t="s">
        <v>694</v>
      </c>
      <c r="Z8" s="585" t="str">
        <f>IF('Hip-Left'!T14="","",'Hip-Left'!T14)</f>
        <v/>
      </c>
      <c r="AA8" s="585" t="str">
        <f t="shared" si="0"/>
        <v/>
      </c>
      <c r="AB8" s="194">
        <f>IF(AA8="",0,VLOOKUP(AA8,$A$3:$N$103,7))</f>
        <v>0</v>
      </c>
      <c r="AC8" s="62"/>
      <c r="AD8" s="147"/>
      <c r="AE8" s="147"/>
      <c r="AF8" s="147"/>
      <c r="AG8" s="147"/>
    </row>
    <row r="9" spans="1:93" ht="15" customHeight="1" x14ac:dyDescent="0.3">
      <c r="A9" s="50">
        <v>6</v>
      </c>
      <c r="B9" s="194">
        <v>8.4000000000000005E-2</v>
      </c>
      <c r="C9" s="194">
        <v>0.312</v>
      </c>
      <c r="D9" s="194">
        <v>2.4E-2</v>
      </c>
      <c r="E9" s="194">
        <v>0.36</v>
      </c>
      <c r="F9" s="194">
        <v>6.8000000000000005E-2</v>
      </c>
      <c r="G9" s="194">
        <v>0.35399999999999998</v>
      </c>
      <c r="H9" s="194">
        <v>2.8000000000000001E-2</v>
      </c>
      <c r="I9" s="194">
        <v>0.372</v>
      </c>
      <c r="J9" s="194">
        <v>4.3999999999999997E-2</v>
      </c>
      <c r="K9" s="194">
        <v>0.35399999999999998</v>
      </c>
      <c r="L9" s="194">
        <v>5.8000000000000003E-2</v>
      </c>
      <c r="M9" s="194">
        <v>0.34799999999999998</v>
      </c>
      <c r="O9" s="50" t="s">
        <v>695</v>
      </c>
      <c r="P9" s="585" t="str">
        <f>IF('Hip-Right'!T15="","",'Hip-Right'!T15)</f>
        <v/>
      </c>
      <c r="Q9" s="585" t="str">
        <f t="shared" si="1"/>
        <v/>
      </c>
      <c r="R9" s="194">
        <f>IF(Q9="",0,VLOOKUP(Q9,$A$3:$N$103,8))</f>
        <v>0</v>
      </c>
      <c r="T9" s="147" t="s">
        <v>1596</v>
      </c>
      <c r="U9" s="585" t="str">
        <f>IF('Hip-Right'!V15="","",'Hip-Right'!V15)</f>
        <v/>
      </c>
      <c r="V9" s="585" t="str">
        <f>IF(U9="","",ROUND(U9,0))</f>
        <v/>
      </c>
      <c r="W9" s="194">
        <f>IF(V9="",0,VLOOKUP(V9,$A$3:$N$103,8))</f>
        <v>0</v>
      </c>
      <c r="Y9" s="50" t="s">
        <v>695</v>
      </c>
      <c r="Z9" s="585" t="str">
        <f>IF('Hip-Left'!T15="","",'Hip-Left'!T15)</f>
        <v/>
      </c>
      <c r="AA9" s="585" t="str">
        <f t="shared" si="0"/>
        <v/>
      </c>
      <c r="AB9" s="194">
        <f>IF(AA9="",0,VLOOKUP(AA9,$A$3:$N$103,8))</f>
        <v>0</v>
      </c>
      <c r="AC9" s="62"/>
      <c r="AD9" s="147" t="s">
        <v>1596</v>
      </c>
      <c r="AE9" s="585" t="str">
        <f>IF('Hip-Left'!V15="","",'Hip-Left'!V15)</f>
        <v/>
      </c>
      <c r="AF9" s="585" t="str">
        <f>IF(AE9="","",ROUND(AE9,0))</f>
        <v/>
      </c>
      <c r="AG9" s="194">
        <f>IF(AF9="",0,VLOOKUP(AF9,$A$3:$N$103,8))</f>
        <v>0</v>
      </c>
    </row>
    <row r="10" spans="1:93" ht="15" customHeight="1" x14ac:dyDescent="0.3">
      <c r="A10" s="50">
        <v>7</v>
      </c>
      <c r="B10" s="194">
        <v>8.3000000000000004E-2</v>
      </c>
      <c r="C10" s="194">
        <v>0.309</v>
      </c>
      <c r="D10" s="194">
        <v>2.3E-2</v>
      </c>
      <c r="E10" s="194">
        <v>0.36499999999999999</v>
      </c>
      <c r="F10" s="194">
        <v>6.6000000000000003E-2</v>
      </c>
      <c r="G10" s="194">
        <v>0.35799999999999998</v>
      </c>
      <c r="H10" s="194">
        <v>2.5999999999999999E-2</v>
      </c>
      <c r="I10" s="194">
        <v>0.379</v>
      </c>
      <c r="J10" s="194">
        <v>4.2999999999999997E-2</v>
      </c>
      <c r="K10" s="194">
        <v>0.35799999999999998</v>
      </c>
      <c r="L10" s="194">
        <v>5.6000000000000001E-2</v>
      </c>
      <c r="M10" s="194">
        <v>0.35099999999999998</v>
      </c>
      <c r="O10" s="50" t="s">
        <v>697</v>
      </c>
      <c r="P10" s="585" t="str">
        <f>IF('Hip-Right'!T16="","",'Hip-Right'!T16)</f>
        <v/>
      </c>
      <c r="Q10" s="585" t="str">
        <f t="shared" si="1"/>
        <v/>
      </c>
      <c r="R10" s="194">
        <f>IF(Q10="",0,VLOOKUP(Q10,$A$3:$N$103,9))</f>
        <v>0</v>
      </c>
      <c r="T10" s="147"/>
      <c r="U10" s="147"/>
      <c r="V10" s="147"/>
      <c r="W10" s="147"/>
      <c r="Y10" s="50" t="s">
        <v>697</v>
      </c>
      <c r="Z10" s="585" t="str">
        <f>IF('Hip-Left'!T16="","",'Hip-Left'!T16)</f>
        <v/>
      </c>
      <c r="AA10" s="585" t="str">
        <f t="shared" si="0"/>
        <v/>
      </c>
      <c r="AB10" s="194">
        <f>IF(AA10="",0,VLOOKUP(AA10,$A$3:$N$103,9))</f>
        <v>0</v>
      </c>
      <c r="AC10" s="62"/>
      <c r="AD10" s="147"/>
      <c r="AE10" s="147"/>
      <c r="AF10" s="147"/>
      <c r="AG10" s="147"/>
    </row>
    <row r="11" spans="1:93" ht="15" customHeight="1" x14ac:dyDescent="0.3">
      <c r="A11" s="50">
        <v>8</v>
      </c>
      <c r="B11" s="194">
        <v>8.2000000000000003E-2</v>
      </c>
      <c r="C11" s="194">
        <v>0.30599999999999999</v>
      </c>
      <c r="D11" s="194">
        <v>2.1999999999999999E-2</v>
      </c>
      <c r="E11" s="194">
        <v>0.37</v>
      </c>
      <c r="F11" s="194">
        <v>6.4000000000000001E-2</v>
      </c>
      <c r="G11" s="194">
        <v>0.36199999999999999</v>
      </c>
      <c r="H11" s="194">
        <v>2.4E-2</v>
      </c>
      <c r="I11" s="194">
        <v>0.38600000000000001</v>
      </c>
      <c r="J11" s="194">
        <v>4.2000000000000003E-2</v>
      </c>
      <c r="K11" s="194">
        <v>0.36199999999999999</v>
      </c>
      <c r="L11" s="194">
        <v>5.3999999999999999E-2</v>
      </c>
      <c r="M11" s="194">
        <v>0.35399999999999998</v>
      </c>
      <c r="O11" s="50" t="s">
        <v>699</v>
      </c>
      <c r="P11" s="585" t="str">
        <f>IF('Hip-Right'!T17="","",'Hip-Right'!T17)</f>
        <v/>
      </c>
      <c r="Q11" s="585" t="str">
        <f t="shared" si="1"/>
        <v/>
      </c>
      <c r="R11" s="194">
        <f>IF(Q11="",0,VLOOKUP(Q11,$A$3:$N$103,10))</f>
        <v>0</v>
      </c>
      <c r="T11" s="147" t="s">
        <v>1596</v>
      </c>
      <c r="U11" s="585" t="str">
        <f>IF('Hip-Right'!V17="","",'Hip-Right'!V17)</f>
        <v/>
      </c>
      <c r="V11" s="585" t="str">
        <f>IF(U11="","",ROUND(U11,0))</f>
        <v/>
      </c>
      <c r="W11" s="194">
        <f>IF(V11="",0,VLOOKUP(V11,$A$3:$N$103,10))</f>
        <v>0</v>
      </c>
      <c r="Y11" s="50" t="s">
        <v>699</v>
      </c>
      <c r="Z11" s="585" t="str">
        <f>IF('Hip-Left'!T17="","",'Hip-Left'!T17)</f>
        <v/>
      </c>
      <c r="AA11" s="585" t="str">
        <f t="shared" si="0"/>
        <v/>
      </c>
      <c r="AB11" s="194">
        <f>IF(AA11="",0,VLOOKUP(AA11,$A$3:$N$103,10))</f>
        <v>0</v>
      </c>
      <c r="AC11" s="62"/>
      <c r="AD11" s="147" t="s">
        <v>1596</v>
      </c>
      <c r="AE11" s="585" t="str">
        <f>IF('Hip-Left'!V17="","",'Hip-Left'!V17)</f>
        <v/>
      </c>
      <c r="AF11" s="585" t="str">
        <f>IF(AE11="","",ROUND(AE11,0))</f>
        <v/>
      </c>
      <c r="AG11" s="194">
        <f>IF(AF11="",0,VLOOKUP(AF11,$A$3:$N$103,10))</f>
        <v>0</v>
      </c>
    </row>
    <row r="12" spans="1:93" ht="15" customHeight="1" x14ac:dyDescent="0.3">
      <c r="A12" s="50">
        <v>9</v>
      </c>
      <c r="B12" s="194">
        <v>8.1000000000000003E-2</v>
      </c>
      <c r="C12" s="194">
        <v>0.30299999999999999</v>
      </c>
      <c r="D12" s="194">
        <v>2.1000000000000001E-2</v>
      </c>
      <c r="E12" s="194">
        <v>0.375</v>
      </c>
      <c r="F12" s="194">
        <v>6.2E-2</v>
      </c>
      <c r="G12" s="194">
        <v>0.36599999999999999</v>
      </c>
      <c r="H12" s="194">
        <v>2.1999999999999999E-2</v>
      </c>
      <c r="I12" s="194">
        <v>0.39300000000000002</v>
      </c>
      <c r="J12" s="194">
        <v>4.1000000000000002E-2</v>
      </c>
      <c r="K12" s="194">
        <v>0.36599999999999999</v>
      </c>
      <c r="L12" s="194">
        <v>5.1999999999999998E-2</v>
      </c>
      <c r="M12" s="194">
        <v>0.35699999999999998</v>
      </c>
      <c r="O12" s="259" t="s">
        <v>1964</v>
      </c>
      <c r="P12" s="585" t="str">
        <f>IF('Hip-Right'!T18="","",'Hip-Right'!T18)</f>
        <v/>
      </c>
      <c r="Q12" s="585" t="str">
        <f t="shared" si="1"/>
        <v/>
      </c>
      <c r="R12" s="194">
        <f>IF(Q12="",0,VLOOKUP(Q12,$A$3:$N$103,11))</f>
        <v>0</v>
      </c>
      <c r="T12" s="147"/>
      <c r="U12" s="147"/>
      <c r="V12" s="147"/>
      <c r="W12" s="147"/>
      <c r="Y12" s="259" t="s">
        <v>1964</v>
      </c>
      <c r="Z12" s="585" t="str">
        <f>IF('Hip-Left'!T18="","",'Hip-Left'!T18)</f>
        <v/>
      </c>
      <c r="AA12" s="585" t="str">
        <f t="shared" si="0"/>
        <v/>
      </c>
      <c r="AB12" s="194">
        <f>IF(AA12="",0,VLOOKUP(AA12,$A$3:$N$103,11))</f>
        <v>0</v>
      </c>
      <c r="AC12" s="62"/>
      <c r="AD12" s="147"/>
      <c r="AE12" s="147"/>
      <c r="AF12" s="147"/>
      <c r="AG12" s="147"/>
    </row>
    <row r="13" spans="1:93" ht="15" customHeight="1" x14ac:dyDescent="0.3">
      <c r="A13" s="50">
        <v>10</v>
      </c>
      <c r="B13" s="194">
        <v>0.08</v>
      </c>
      <c r="C13" s="194">
        <v>0.3</v>
      </c>
      <c r="D13" s="194">
        <v>0.02</v>
      </c>
      <c r="E13" s="194">
        <v>0.38</v>
      </c>
      <c r="F13" s="194">
        <v>0.06</v>
      </c>
      <c r="G13" s="194">
        <v>0.37</v>
      </c>
      <c r="H13" s="194">
        <v>0.02</v>
      </c>
      <c r="I13" s="194">
        <v>0.4</v>
      </c>
      <c r="J13" s="194">
        <v>0.04</v>
      </c>
      <c r="K13" s="194">
        <v>0.37</v>
      </c>
      <c r="L13" s="194">
        <v>0.05</v>
      </c>
      <c r="M13" s="194">
        <v>0.36</v>
      </c>
      <c r="O13" s="275" t="s">
        <v>592</v>
      </c>
      <c r="P13" s="585" t="str">
        <f>IF('Hip-Right'!T19="","",'Hip-Right'!T19)</f>
        <v/>
      </c>
      <c r="Q13" s="585" t="str">
        <f t="shared" si="1"/>
        <v/>
      </c>
      <c r="R13" s="194">
        <f>IF(Q13="",0,VLOOKUP(Q13,$A$3:$N$103,12))</f>
        <v>0</v>
      </c>
      <c r="T13" s="147" t="s">
        <v>1596</v>
      </c>
      <c r="U13" s="585" t="str">
        <f>IF('Hip-Right'!V19="","",'Hip-Right'!V19)</f>
        <v/>
      </c>
      <c r="V13" s="585" t="str">
        <f>IF(U13="","",ROUND(U13,0))</f>
        <v/>
      </c>
      <c r="W13" s="194">
        <f>IF(V13="",0,VLOOKUP(V13,$A$3:$N$103,12))</f>
        <v>0</v>
      </c>
      <c r="Y13" s="275" t="s">
        <v>592</v>
      </c>
      <c r="Z13" s="585" t="str">
        <f>IF('Hip-Left'!T19="","",'Hip-Left'!T19)</f>
        <v/>
      </c>
      <c r="AA13" s="585" t="str">
        <f t="shared" si="0"/>
        <v/>
      </c>
      <c r="AB13" s="194">
        <f>IF(AA13="",0,VLOOKUP(AA13,$A$3:$N$103,12))</f>
        <v>0</v>
      </c>
      <c r="AC13" s="62"/>
      <c r="AD13" s="147" t="s">
        <v>1596</v>
      </c>
      <c r="AE13" s="585" t="str">
        <f>IF('Hip-Left'!V19="","",'Hip-Left'!V19)</f>
        <v/>
      </c>
      <c r="AF13" s="585" t="str">
        <f>IF(AE13="","",ROUND(AE13,0))</f>
        <v/>
      </c>
      <c r="AG13" s="194">
        <f>IF(AF13="",0,VLOOKUP(AF13,$A$3:$N$103,12))</f>
        <v>0</v>
      </c>
    </row>
    <row r="14" spans="1:93" ht="15" customHeight="1" x14ac:dyDescent="0.3">
      <c r="A14" s="50">
        <v>11</v>
      </c>
      <c r="B14" s="194">
        <v>7.9000000000000001E-2</v>
      </c>
      <c r="C14" s="194">
        <v>0.29599999999999999</v>
      </c>
      <c r="D14" s="194">
        <v>1.9E-2</v>
      </c>
      <c r="E14" s="194">
        <v>0.38500000000000001</v>
      </c>
      <c r="F14" s="194">
        <v>5.8000000000000003E-2</v>
      </c>
      <c r="G14" s="194">
        <v>0.373</v>
      </c>
      <c r="H14" s="194">
        <v>1.7999999999999999E-2</v>
      </c>
      <c r="I14" s="194">
        <v>0.40699999999999997</v>
      </c>
      <c r="J14" s="194">
        <v>3.9E-2</v>
      </c>
      <c r="K14" s="194">
        <v>0.373</v>
      </c>
      <c r="L14" s="194">
        <v>4.9000000000000002E-2</v>
      </c>
      <c r="M14" s="194">
        <v>0.36299999999999999</v>
      </c>
      <c r="O14" s="275" t="s">
        <v>1617</v>
      </c>
      <c r="P14" s="585" t="str">
        <f>IF('Hip-Right'!T20="","",'Hip-Right'!T20)</f>
        <v/>
      </c>
      <c r="Q14" s="585" t="str">
        <f t="shared" si="1"/>
        <v/>
      </c>
      <c r="R14" s="194">
        <f>IF(Q14="",0,VLOOKUP(Q14,$A$3:$N$103,13))</f>
        <v>0</v>
      </c>
      <c r="T14" s="147"/>
      <c r="U14" s="147"/>
      <c r="V14" s="147"/>
      <c r="W14" s="147"/>
      <c r="Y14" s="275" t="s">
        <v>1617</v>
      </c>
      <c r="Z14" s="585" t="str">
        <f>IF('Hip-Left'!T20="","",'Hip-Left'!T20)</f>
        <v/>
      </c>
      <c r="AA14" s="585" t="str">
        <f t="shared" si="0"/>
        <v/>
      </c>
      <c r="AB14" s="194">
        <f>IF(AA14="",0,VLOOKUP(AA14,$A$3:$N$103,13))</f>
        <v>0</v>
      </c>
      <c r="AC14" s="62"/>
      <c r="AD14" s="147"/>
      <c r="AE14" s="147"/>
      <c r="AF14" s="147"/>
      <c r="AG14" s="147"/>
    </row>
    <row r="15" spans="1:93" ht="15" customHeight="1" x14ac:dyDescent="0.3">
      <c r="A15" s="50">
        <v>12</v>
      </c>
      <c r="B15" s="194">
        <v>7.8E-2</v>
      </c>
      <c r="C15" s="194">
        <v>0.29199999999999998</v>
      </c>
      <c r="D15" s="194">
        <v>1.7999999999999999E-2</v>
      </c>
      <c r="E15" s="194">
        <v>0.39</v>
      </c>
      <c r="F15" s="194">
        <v>5.6000000000000001E-2</v>
      </c>
      <c r="G15" s="194">
        <v>0.376</v>
      </c>
      <c r="H15" s="194">
        <v>1.6E-2</v>
      </c>
      <c r="I15" s="194">
        <v>0.41399999999999998</v>
      </c>
      <c r="J15" s="194">
        <v>3.7999999999999999E-2</v>
      </c>
      <c r="K15" s="194">
        <v>0.376</v>
      </c>
      <c r="L15" s="194">
        <v>4.8000000000000001E-2</v>
      </c>
      <c r="M15" s="194">
        <v>0.36599999999999999</v>
      </c>
      <c r="Z15" s="62"/>
      <c r="AA15" s="62"/>
      <c r="AC15" s="62"/>
      <c r="AE15" s="62"/>
      <c r="AF15" s="62"/>
      <c r="AG15" s="95"/>
    </row>
    <row r="16" spans="1:93" ht="15" customHeight="1" x14ac:dyDescent="0.3">
      <c r="A16" s="50">
        <v>13</v>
      </c>
      <c r="B16" s="194">
        <v>7.6999999999999999E-2</v>
      </c>
      <c r="C16" s="194">
        <v>0.28799999999999998</v>
      </c>
      <c r="D16" s="194">
        <v>1.7000000000000001E-2</v>
      </c>
      <c r="E16" s="194">
        <v>0.39500000000000002</v>
      </c>
      <c r="F16" s="194">
        <v>5.3999999999999999E-2</v>
      </c>
      <c r="G16" s="194">
        <v>0.379</v>
      </c>
      <c r="H16" s="194">
        <v>1.4E-2</v>
      </c>
      <c r="I16" s="194">
        <v>0.42099999999999999</v>
      </c>
      <c r="J16" s="194">
        <v>3.6999999999999998E-2</v>
      </c>
      <c r="K16" s="194">
        <v>0.379</v>
      </c>
      <c r="L16" s="194">
        <v>4.7E-2</v>
      </c>
      <c r="M16" s="194">
        <v>0.36899999999999999</v>
      </c>
      <c r="Z16" s="332"/>
    </row>
    <row r="17" spans="1:26" ht="15" customHeight="1" x14ac:dyDescent="0.3">
      <c r="A17" s="50">
        <v>14</v>
      </c>
      <c r="B17" s="194">
        <v>7.5999999999999998E-2</v>
      </c>
      <c r="C17" s="194">
        <v>0.28399999999999997</v>
      </c>
      <c r="D17" s="194">
        <v>1.6E-2</v>
      </c>
      <c r="E17" s="194">
        <v>0.4</v>
      </c>
      <c r="F17" s="194">
        <v>5.1999999999999998E-2</v>
      </c>
      <c r="G17" s="194">
        <v>0.38200000000000001</v>
      </c>
      <c r="H17" s="194">
        <v>1.2E-2</v>
      </c>
      <c r="I17" s="194">
        <v>0.42799999999999999</v>
      </c>
      <c r="J17" s="194">
        <v>3.5999999999999997E-2</v>
      </c>
      <c r="K17" s="194">
        <v>0.38200000000000001</v>
      </c>
      <c r="L17" s="194">
        <v>4.5999999999999999E-2</v>
      </c>
      <c r="M17" s="194">
        <v>0.372</v>
      </c>
      <c r="Z17" s="332"/>
    </row>
    <row r="18" spans="1:26" ht="15" customHeight="1" x14ac:dyDescent="0.3">
      <c r="A18" s="50">
        <v>15</v>
      </c>
      <c r="B18" s="194">
        <v>7.4999999999999997E-2</v>
      </c>
      <c r="C18" s="194">
        <v>0.28000000000000003</v>
      </c>
      <c r="D18" s="194">
        <v>1.4999999999999999E-2</v>
      </c>
      <c r="E18" s="194">
        <v>0.40500000000000003</v>
      </c>
      <c r="F18" s="194">
        <v>0.05</v>
      </c>
      <c r="G18" s="194">
        <v>0.38500000000000001</v>
      </c>
      <c r="H18" s="194">
        <v>0.01</v>
      </c>
      <c r="I18" s="194">
        <v>0.435</v>
      </c>
      <c r="J18" s="194">
        <v>3.5000000000000003E-2</v>
      </c>
      <c r="K18" s="194">
        <v>0.38500000000000001</v>
      </c>
      <c r="L18" s="194">
        <v>4.4999999999999998E-2</v>
      </c>
      <c r="M18" s="194">
        <v>0.375</v>
      </c>
      <c r="Z18" s="332"/>
    </row>
    <row r="19" spans="1:26" ht="15" customHeight="1" x14ac:dyDescent="0.3">
      <c r="A19" s="50">
        <v>16</v>
      </c>
      <c r="B19" s="194">
        <v>7.3999999999999996E-2</v>
      </c>
      <c r="C19" s="194">
        <v>0.27600000000000002</v>
      </c>
      <c r="D19" s="194">
        <v>1.4E-2</v>
      </c>
      <c r="E19" s="194">
        <v>0.41</v>
      </c>
      <c r="F19" s="194">
        <v>4.8000000000000001E-2</v>
      </c>
      <c r="G19" s="194">
        <v>0.38800000000000001</v>
      </c>
      <c r="H19" s="194">
        <v>8.0000000000000002E-3</v>
      </c>
      <c r="I19" s="194">
        <v>0.442</v>
      </c>
      <c r="J19" s="194">
        <v>3.4000000000000002E-2</v>
      </c>
      <c r="K19" s="194">
        <v>0.38800000000000001</v>
      </c>
      <c r="L19" s="194">
        <v>4.3999999999999997E-2</v>
      </c>
      <c r="M19" s="194">
        <v>0.378</v>
      </c>
      <c r="Z19" s="332"/>
    </row>
    <row r="20" spans="1:26" ht="15" customHeight="1" x14ac:dyDescent="0.3">
      <c r="A20" s="50">
        <v>17</v>
      </c>
      <c r="B20" s="194">
        <v>7.2999999999999995E-2</v>
      </c>
      <c r="C20" s="194">
        <v>0.27200000000000002</v>
      </c>
      <c r="D20" s="194">
        <v>1.2999999999999999E-2</v>
      </c>
      <c r="E20" s="194">
        <v>0.41499999999999998</v>
      </c>
      <c r="F20" s="194">
        <v>4.5999999999999999E-2</v>
      </c>
      <c r="G20" s="194">
        <v>0.39100000000000001</v>
      </c>
      <c r="H20" s="194">
        <v>6.0000000000000001E-3</v>
      </c>
      <c r="I20" s="194">
        <v>0.44900000000000001</v>
      </c>
      <c r="J20" s="194">
        <v>3.3000000000000002E-2</v>
      </c>
      <c r="K20" s="194">
        <v>0.39100000000000001</v>
      </c>
      <c r="L20" s="194">
        <v>4.2999999999999997E-2</v>
      </c>
      <c r="M20" s="194">
        <v>0.38100000000000001</v>
      </c>
      <c r="Z20" s="332"/>
    </row>
    <row r="21" spans="1:26" ht="15.75" customHeight="1" x14ac:dyDescent="0.3">
      <c r="A21" s="50">
        <v>18</v>
      </c>
      <c r="B21" s="704">
        <v>7.1999999999999995E-2</v>
      </c>
      <c r="C21" s="194">
        <v>0.26800000000000002</v>
      </c>
      <c r="D21" s="194">
        <v>1.2E-2</v>
      </c>
      <c r="E21" s="194">
        <v>0.42</v>
      </c>
      <c r="F21" s="194">
        <v>4.3999999999999997E-2</v>
      </c>
      <c r="G21" s="194">
        <v>0.39400000000000002</v>
      </c>
      <c r="H21" s="194">
        <v>4.0000000000000001E-3</v>
      </c>
      <c r="I21" s="194">
        <v>0.45600000000000002</v>
      </c>
      <c r="J21" s="194">
        <v>3.2000000000000001E-2</v>
      </c>
      <c r="K21" s="194">
        <v>0.39400000000000002</v>
      </c>
      <c r="L21" s="194">
        <v>4.2000000000000003E-2</v>
      </c>
      <c r="M21" s="194">
        <v>0.38400000000000001</v>
      </c>
      <c r="Z21" s="332"/>
    </row>
    <row r="22" spans="1:26" ht="15" customHeight="1" x14ac:dyDescent="0.3">
      <c r="A22" s="50">
        <v>19</v>
      </c>
      <c r="B22" s="194">
        <v>7.0999999999999994E-2</v>
      </c>
      <c r="C22" s="194">
        <v>0.26400000000000001</v>
      </c>
      <c r="D22" s="194">
        <v>1.0999999999999999E-2</v>
      </c>
      <c r="E22" s="194">
        <v>0.42499999999999999</v>
      </c>
      <c r="F22" s="194">
        <v>4.2000000000000003E-2</v>
      </c>
      <c r="G22" s="194">
        <v>0.39700000000000002</v>
      </c>
      <c r="H22" s="194">
        <v>2E-3</v>
      </c>
      <c r="I22" s="194">
        <v>0.46300000000000002</v>
      </c>
      <c r="J22" s="194">
        <v>3.1E-2</v>
      </c>
      <c r="K22" s="194">
        <v>0.39700000000000002</v>
      </c>
      <c r="L22" s="194">
        <v>4.1000000000000002E-2</v>
      </c>
      <c r="M22" s="194">
        <v>0.38700000000000001</v>
      </c>
      <c r="Z22" s="332"/>
    </row>
    <row r="23" spans="1:26" ht="15" customHeight="1" x14ac:dyDescent="0.3">
      <c r="A23" s="50">
        <v>20</v>
      </c>
      <c r="B23" s="194">
        <v>7.0000000000000007E-2</v>
      </c>
      <c r="C23" s="194">
        <v>0.26</v>
      </c>
      <c r="D23" s="194">
        <v>0.01</v>
      </c>
      <c r="E23" s="194">
        <v>0.43</v>
      </c>
      <c r="F23" s="194">
        <v>0.04</v>
      </c>
      <c r="G23" s="194">
        <v>0.4</v>
      </c>
      <c r="H23" s="194">
        <v>0</v>
      </c>
      <c r="I23" s="194">
        <v>0.47</v>
      </c>
      <c r="J23" s="194">
        <v>0.03</v>
      </c>
      <c r="K23" s="194">
        <v>0.4</v>
      </c>
      <c r="L23" s="194">
        <v>0.04</v>
      </c>
      <c r="M23" s="194">
        <v>0.39</v>
      </c>
      <c r="Z23" s="332"/>
    </row>
    <row r="24" spans="1:26" ht="15" customHeight="1" x14ac:dyDescent="0.3">
      <c r="A24" s="50">
        <v>21</v>
      </c>
      <c r="B24" s="194">
        <v>6.9000000000000006E-2</v>
      </c>
      <c r="C24" s="194">
        <v>0.25600000000000001</v>
      </c>
      <c r="D24" s="194">
        <v>8.9999999999999993E-3</v>
      </c>
      <c r="E24" s="194">
        <v>0.434</v>
      </c>
      <c r="F24" s="194">
        <v>3.7999999999999999E-2</v>
      </c>
      <c r="G24" s="194">
        <v>0.40400000000000003</v>
      </c>
      <c r="H24" s="553"/>
      <c r="I24" s="553"/>
      <c r="J24" s="194">
        <v>2.9000000000000001E-2</v>
      </c>
      <c r="K24" s="194">
        <v>0.40400000000000003</v>
      </c>
      <c r="L24" s="194">
        <v>3.9E-2</v>
      </c>
      <c r="M24" s="194">
        <v>0.39200000000000002</v>
      </c>
      <c r="Z24" s="332"/>
    </row>
    <row r="25" spans="1:26" ht="15" customHeight="1" x14ac:dyDescent="0.3">
      <c r="A25" s="50">
        <v>22</v>
      </c>
      <c r="B25" s="194">
        <v>6.8000000000000005E-2</v>
      </c>
      <c r="C25" s="194">
        <v>0.252</v>
      </c>
      <c r="D25" s="194">
        <v>8.0000000000000002E-3</v>
      </c>
      <c r="E25" s="194">
        <v>0.438</v>
      </c>
      <c r="F25" s="194">
        <v>3.5999999999999997E-2</v>
      </c>
      <c r="G25" s="194">
        <v>0.40799999999999997</v>
      </c>
      <c r="H25" s="553"/>
      <c r="I25" s="553"/>
      <c r="J25" s="194">
        <v>2.8000000000000001E-2</v>
      </c>
      <c r="K25" s="194">
        <v>0.40799999999999997</v>
      </c>
      <c r="L25" s="194">
        <v>3.7999999999999999E-2</v>
      </c>
      <c r="M25" s="194">
        <v>0.39400000000000002</v>
      </c>
      <c r="Z25" s="332"/>
    </row>
    <row r="26" spans="1:26" ht="15" customHeight="1" x14ac:dyDescent="0.3">
      <c r="A26" s="50">
        <v>23</v>
      </c>
      <c r="B26" s="194">
        <v>6.7000000000000004E-2</v>
      </c>
      <c r="C26" s="194">
        <v>0.248</v>
      </c>
      <c r="D26" s="194">
        <v>7.0000000000000001E-3</v>
      </c>
      <c r="E26" s="194">
        <v>0.442</v>
      </c>
      <c r="F26" s="194">
        <v>3.4000000000000002E-2</v>
      </c>
      <c r="G26" s="194">
        <v>0.41199999999999998</v>
      </c>
      <c r="H26" s="553"/>
      <c r="I26" s="553"/>
      <c r="J26" s="194">
        <v>2.7E-2</v>
      </c>
      <c r="K26" s="194">
        <v>0.41199999999999998</v>
      </c>
      <c r="L26" s="194">
        <v>3.6999999999999998E-2</v>
      </c>
      <c r="M26" s="194">
        <v>0.39600000000000002</v>
      </c>
      <c r="Z26" s="332"/>
    </row>
    <row r="27" spans="1:26" ht="15" customHeight="1" x14ac:dyDescent="0.3">
      <c r="A27" s="50">
        <v>24</v>
      </c>
      <c r="B27" s="194">
        <v>6.6000000000000003E-2</v>
      </c>
      <c r="C27" s="194">
        <v>0.24399999999999999</v>
      </c>
      <c r="D27" s="194">
        <v>6.0000000000000001E-3</v>
      </c>
      <c r="E27" s="194">
        <v>0.44600000000000001</v>
      </c>
      <c r="F27" s="194">
        <v>3.2000000000000001E-2</v>
      </c>
      <c r="G27" s="194">
        <v>0.41599999999999998</v>
      </c>
      <c r="H27" s="553"/>
      <c r="I27" s="553"/>
      <c r="J27" s="194">
        <v>2.5999999999999999E-2</v>
      </c>
      <c r="K27" s="194">
        <v>0.41599999999999998</v>
      </c>
      <c r="L27" s="194">
        <v>3.5999999999999997E-2</v>
      </c>
      <c r="M27" s="194">
        <v>0.39800000000000002</v>
      </c>
      <c r="Z27" s="332"/>
    </row>
    <row r="28" spans="1:26" ht="15" customHeight="1" x14ac:dyDescent="0.3">
      <c r="A28" s="50">
        <v>25</v>
      </c>
      <c r="B28" s="194">
        <v>6.5000000000000002E-2</v>
      </c>
      <c r="C28" s="194">
        <v>0.24</v>
      </c>
      <c r="D28" s="704">
        <v>5.0000000000000001E-3</v>
      </c>
      <c r="E28" s="194">
        <v>0.45</v>
      </c>
      <c r="F28" s="194">
        <v>0.03</v>
      </c>
      <c r="G28" s="194">
        <v>0.42</v>
      </c>
      <c r="H28" s="553"/>
      <c r="I28" s="553"/>
      <c r="J28" s="194">
        <v>2.5000000000000001E-2</v>
      </c>
      <c r="K28" s="194">
        <v>0.42</v>
      </c>
      <c r="L28" s="194">
        <v>3.5000000000000003E-2</v>
      </c>
      <c r="M28" s="194">
        <v>0.4</v>
      </c>
      <c r="Z28" s="332"/>
    </row>
    <row r="29" spans="1:26" ht="15" customHeight="1" x14ac:dyDescent="0.3">
      <c r="A29" s="50">
        <v>26</v>
      </c>
      <c r="B29" s="194">
        <v>6.4000000000000001E-2</v>
      </c>
      <c r="C29" s="194">
        <v>0.24399999999999999</v>
      </c>
      <c r="D29" s="704">
        <v>4.0000000000000001E-3</v>
      </c>
      <c r="E29" s="194">
        <v>0.45400000000000001</v>
      </c>
      <c r="F29" s="194">
        <v>2.8000000000000001E-2</v>
      </c>
      <c r="G29" s="194">
        <v>0.42399999999999999</v>
      </c>
      <c r="H29" s="553"/>
      <c r="I29" s="553"/>
      <c r="J29" s="194">
        <v>2.4E-2</v>
      </c>
      <c r="K29" s="194">
        <v>0.42399999999999999</v>
      </c>
      <c r="L29" s="194">
        <v>3.4000000000000002E-2</v>
      </c>
      <c r="M29" s="194">
        <v>0.40200000000000002</v>
      </c>
      <c r="Z29" s="332"/>
    </row>
    <row r="30" spans="1:26" ht="15" customHeight="1" x14ac:dyDescent="0.3">
      <c r="A30" s="50">
        <v>27</v>
      </c>
      <c r="B30" s="194">
        <v>6.3E-2</v>
      </c>
      <c r="C30" s="194">
        <v>0.248</v>
      </c>
      <c r="D30" s="704">
        <v>3.0000000000000001E-3</v>
      </c>
      <c r="E30" s="194">
        <v>0.45800000000000002</v>
      </c>
      <c r="F30" s="194">
        <v>2.5999999999999999E-2</v>
      </c>
      <c r="G30" s="194">
        <v>0.42799999999999999</v>
      </c>
      <c r="H30" s="553"/>
      <c r="I30" s="553"/>
      <c r="J30" s="194">
        <v>2.3E-2</v>
      </c>
      <c r="K30" s="194">
        <v>0.42799999999999999</v>
      </c>
      <c r="L30" s="194">
        <v>3.3000000000000002E-2</v>
      </c>
      <c r="M30" s="194">
        <v>0.40400000000000003</v>
      </c>
      <c r="R30" s="95"/>
      <c r="U30" s="62"/>
      <c r="V30" s="62"/>
      <c r="W30" s="95"/>
      <c r="Z30" s="332"/>
    </row>
    <row r="31" spans="1:26" ht="15" customHeight="1" x14ac:dyDescent="0.3">
      <c r="A31" s="50">
        <v>28</v>
      </c>
      <c r="B31" s="194">
        <v>6.2E-2</v>
      </c>
      <c r="C31" s="194">
        <v>0.252</v>
      </c>
      <c r="D31" s="704">
        <v>2E-3</v>
      </c>
      <c r="E31" s="194">
        <v>0.46200000000000002</v>
      </c>
      <c r="F31" s="194">
        <v>2.4E-2</v>
      </c>
      <c r="G31" s="194">
        <v>0.432</v>
      </c>
      <c r="H31" s="553"/>
      <c r="I31" s="553"/>
      <c r="J31" s="194">
        <v>2.1999999999999999E-2</v>
      </c>
      <c r="K31" s="194">
        <v>0.432</v>
      </c>
      <c r="L31" s="194">
        <v>3.2000000000000001E-2</v>
      </c>
      <c r="M31" s="194">
        <v>0.40600000000000003</v>
      </c>
      <c r="R31" s="95"/>
      <c r="Z31" s="332"/>
    </row>
    <row r="32" spans="1:26" ht="15" customHeight="1" x14ac:dyDescent="0.3">
      <c r="A32" s="50">
        <v>29</v>
      </c>
      <c r="B32" s="194">
        <v>6.0999999999999999E-2</v>
      </c>
      <c r="C32" s="194">
        <v>0.25600000000000001</v>
      </c>
      <c r="D32" s="704">
        <v>1E-3</v>
      </c>
      <c r="E32" s="194">
        <v>0.46600000000000003</v>
      </c>
      <c r="F32" s="194">
        <v>2.1999999999999999E-2</v>
      </c>
      <c r="G32" s="194">
        <v>0.436</v>
      </c>
      <c r="H32" s="553"/>
      <c r="I32" s="553"/>
      <c r="J32" s="194">
        <v>2.1000000000000001E-2</v>
      </c>
      <c r="K32" s="194">
        <v>0.436</v>
      </c>
      <c r="L32" s="194">
        <v>3.1E-2</v>
      </c>
      <c r="M32" s="194">
        <v>0.40799999999999997</v>
      </c>
      <c r="Z32" s="332"/>
    </row>
    <row r="33" spans="1:26" ht="15" customHeight="1" x14ac:dyDescent="0.3">
      <c r="A33" s="50">
        <v>30</v>
      </c>
      <c r="B33" s="194">
        <v>0.06</v>
      </c>
      <c r="C33" s="194">
        <v>0.26</v>
      </c>
      <c r="D33" s="704">
        <v>0</v>
      </c>
      <c r="E33" s="194">
        <v>0.47</v>
      </c>
      <c r="F33" s="194">
        <v>0.02</v>
      </c>
      <c r="G33" s="194">
        <v>0.44</v>
      </c>
      <c r="H33" s="553"/>
      <c r="I33" s="553"/>
      <c r="J33" s="194">
        <v>0.02</v>
      </c>
      <c r="K33" s="194">
        <v>0.44</v>
      </c>
      <c r="L33" s="194">
        <v>0.03</v>
      </c>
      <c r="M33" s="194">
        <v>0.41</v>
      </c>
      <c r="R33" s="95"/>
      <c r="U33" s="62"/>
      <c r="V33" s="62"/>
      <c r="W33" s="95"/>
      <c r="Z33" s="332"/>
    </row>
    <row r="34" spans="1:26" ht="15" customHeight="1" x14ac:dyDescent="0.3">
      <c r="A34" s="50">
        <v>31</v>
      </c>
      <c r="B34" s="194">
        <v>0.06</v>
      </c>
      <c r="C34" s="194">
        <v>0.26300000000000001</v>
      </c>
      <c r="D34" s="553"/>
      <c r="E34" s="553"/>
      <c r="F34" s="194">
        <v>1.7999999999999999E-2</v>
      </c>
      <c r="G34" s="194">
        <v>0.443</v>
      </c>
      <c r="H34" s="553"/>
      <c r="I34" s="553"/>
      <c r="J34" s="194">
        <v>1.7999999999999999E-2</v>
      </c>
      <c r="K34" s="194">
        <v>0.443</v>
      </c>
      <c r="L34" s="194">
        <v>2.9000000000000001E-2</v>
      </c>
      <c r="M34" s="194">
        <v>0.41299999999999998</v>
      </c>
      <c r="R34" s="95"/>
      <c r="U34" s="62"/>
      <c r="V34" s="62"/>
      <c r="W34" s="95"/>
      <c r="Z34" s="332"/>
    </row>
    <row r="35" spans="1:26" ht="15" customHeight="1" x14ac:dyDescent="0.3">
      <c r="A35" s="50">
        <v>32</v>
      </c>
      <c r="B35" s="194">
        <v>0.06</v>
      </c>
      <c r="C35" s="194">
        <v>0.26600000000000001</v>
      </c>
      <c r="D35" s="553"/>
      <c r="E35" s="553"/>
      <c r="F35" s="194">
        <v>1.6E-2</v>
      </c>
      <c r="G35" s="194">
        <v>0.44600000000000001</v>
      </c>
      <c r="H35" s="553"/>
      <c r="I35" s="553"/>
      <c r="J35" s="194">
        <v>1.6E-2</v>
      </c>
      <c r="K35" s="194">
        <v>0.44600000000000001</v>
      </c>
      <c r="L35" s="194">
        <v>2.8000000000000001E-2</v>
      </c>
      <c r="M35" s="194">
        <v>0.41599999999999998</v>
      </c>
      <c r="R35" s="95"/>
      <c r="Z35" s="332"/>
    </row>
    <row r="36" spans="1:26" ht="15" customHeight="1" x14ac:dyDescent="0.3">
      <c r="A36" s="50">
        <v>33</v>
      </c>
      <c r="B36" s="194">
        <v>0.06</v>
      </c>
      <c r="C36" s="194">
        <v>0.26900000000000002</v>
      </c>
      <c r="D36" s="553"/>
      <c r="E36" s="553"/>
      <c r="F36" s="704">
        <v>1.4E-2</v>
      </c>
      <c r="G36" s="194">
        <v>0.44900000000000001</v>
      </c>
      <c r="H36" s="553"/>
      <c r="I36" s="553"/>
      <c r="J36" s="194">
        <v>1.4E-2</v>
      </c>
      <c r="K36" s="194">
        <v>0.44900000000000001</v>
      </c>
      <c r="L36" s="194">
        <v>2.7E-2</v>
      </c>
      <c r="M36" s="194">
        <v>0.41899999999999998</v>
      </c>
      <c r="Z36" s="332"/>
    </row>
    <row r="37" spans="1:26" ht="15" customHeight="1" x14ac:dyDescent="0.3">
      <c r="A37" s="50">
        <v>34</v>
      </c>
      <c r="B37" s="194">
        <v>0.06</v>
      </c>
      <c r="C37" s="194">
        <v>0.27200000000000002</v>
      </c>
      <c r="D37" s="553"/>
      <c r="E37" s="553"/>
      <c r="F37" s="704">
        <v>1.2E-2</v>
      </c>
      <c r="G37" s="194">
        <v>0.45200000000000001</v>
      </c>
      <c r="H37" s="611"/>
      <c r="I37" s="553"/>
      <c r="J37" s="194">
        <v>1.2E-2</v>
      </c>
      <c r="K37" s="194">
        <v>0.45200000000000001</v>
      </c>
      <c r="L37" s="194">
        <v>2.5999999999999999E-2</v>
      </c>
      <c r="M37" s="194">
        <v>0.42199999999999999</v>
      </c>
      <c r="Z37" s="332"/>
    </row>
    <row r="38" spans="1:26" ht="15" customHeight="1" x14ac:dyDescent="0.3">
      <c r="A38" s="50">
        <v>35</v>
      </c>
      <c r="B38" s="194">
        <v>0.06</v>
      </c>
      <c r="C38" s="194">
        <v>0.27500000000000002</v>
      </c>
      <c r="D38" s="553"/>
      <c r="E38" s="553"/>
      <c r="F38" s="704">
        <v>0.01</v>
      </c>
      <c r="G38" s="194">
        <v>0.45500000000000002</v>
      </c>
      <c r="H38" s="553"/>
      <c r="I38" s="553"/>
      <c r="J38" s="194">
        <v>0.01</v>
      </c>
      <c r="K38" s="194">
        <v>0.45500000000000002</v>
      </c>
      <c r="L38" s="194">
        <v>2.5000000000000001E-2</v>
      </c>
      <c r="M38" s="194">
        <v>0.42499999999999999</v>
      </c>
      <c r="R38" s="95"/>
      <c r="U38" s="62"/>
      <c r="V38" s="62"/>
      <c r="W38" s="95"/>
      <c r="Z38" s="332"/>
    </row>
    <row r="39" spans="1:26" ht="15" customHeight="1" x14ac:dyDescent="0.3">
      <c r="A39" s="50">
        <v>36</v>
      </c>
      <c r="B39" s="194">
        <v>0.06</v>
      </c>
      <c r="C39" s="194">
        <v>0.27800000000000002</v>
      </c>
      <c r="D39" s="553"/>
      <c r="E39" s="553"/>
      <c r="F39" s="704">
        <v>8.0000000000000002E-3</v>
      </c>
      <c r="G39" s="194">
        <v>0.45800000000000002</v>
      </c>
      <c r="H39" s="553"/>
      <c r="I39" s="553"/>
      <c r="J39" s="194">
        <v>8.0000000000000002E-3</v>
      </c>
      <c r="K39" s="194">
        <v>0.45800000000000002</v>
      </c>
      <c r="L39" s="194">
        <v>2.4E-2</v>
      </c>
      <c r="M39" s="194">
        <v>0.42799999999999999</v>
      </c>
      <c r="R39" s="95"/>
      <c r="U39" s="62"/>
      <c r="V39" s="62"/>
      <c r="W39" s="95"/>
      <c r="Z39" s="332"/>
    </row>
    <row r="40" spans="1:26" ht="15" customHeight="1" x14ac:dyDescent="0.3">
      <c r="A40" s="50">
        <v>37</v>
      </c>
      <c r="B40" s="194">
        <v>0.06</v>
      </c>
      <c r="C40" s="194">
        <v>0.28100000000000003</v>
      </c>
      <c r="D40" s="553"/>
      <c r="E40" s="553"/>
      <c r="F40" s="704">
        <v>6.0000000000000001E-3</v>
      </c>
      <c r="G40" s="194">
        <v>0.46100000000000002</v>
      </c>
      <c r="H40" s="553"/>
      <c r="I40" s="553"/>
      <c r="J40" s="194">
        <v>6.0000000000000001E-3</v>
      </c>
      <c r="K40" s="194">
        <v>0.46100000000000002</v>
      </c>
      <c r="L40" s="194">
        <v>2.3E-2</v>
      </c>
      <c r="M40" s="194">
        <v>0.43099999999999999</v>
      </c>
      <c r="R40" s="95"/>
      <c r="Z40" s="332"/>
    </row>
    <row r="41" spans="1:26" ht="15" customHeight="1" x14ac:dyDescent="0.3">
      <c r="A41" s="50">
        <v>38</v>
      </c>
      <c r="B41" s="194">
        <v>0.06</v>
      </c>
      <c r="C41" s="194">
        <v>0.28399999999999997</v>
      </c>
      <c r="D41" s="553"/>
      <c r="E41" s="611"/>
      <c r="F41" s="704">
        <v>4.0000000000000001E-3</v>
      </c>
      <c r="G41" s="194">
        <v>0.46400000000000002</v>
      </c>
      <c r="H41" s="553"/>
      <c r="I41" s="553"/>
      <c r="J41" s="194">
        <v>4.0000000000000001E-3</v>
      </c>
      <c r="K41" s="194">
        <v>0.46400000000000002</v>
      </c>
      <c r="L41" s="194">
        <v>2.1999999999999999E-2</v>
      </c>
      <c r="M41" s="194">
        <v>0.434</v>
      </c>
      <c r="Z41" s="332"/>
    </row>
    <row r="42" spans="1:26" ht="15" customHeight="1" x14ac:dyDescent="0.3">
      <c r="A42" s="50">
        <v>39</v>
      </c>
      <c r="B42" s="194">
        <v>0.06</v>
      </c>
      <c r="C42" s="194">
        <v>0.28699999999999998</v>
      </c>
      <c r="D42" s="553"/>
      <c r="E42" s="553"/>
      <c r="F42" s="704">
        <v>2E-3</v>
      </c>
      <c r="G42" s="194">
        <v>0.46700000000000003</v>
      </c>
      <c r="H42" s="553"/>
      <c r="I42" s="553"/>
      <c r="J42" s="194">
        <v>2E-3</v>
      </c>
      <c r="K42" s="194">
        <v>0.46700000000000003</v>
      </c>
      <c r="L42" s="194">
        <v>2.1000000000000001E-2</v>
      </c>
      <c r="M42" s="194">
        <v>0.437</v>
      </c>
      <c r="R42" s="95"/>
      <c r="U42" s="62"/>
      <c r="V42" s="62"/>
      <c r="W42" s="95"/>
      <c r="Z42" s="332"/>
    </row>
    <row r="43" spans="1:26" ht="15" customHeight="1" x14ac:dyDescent="0.3">
      <c r="A43" s="50">
        <v>40</v>
      </c>
      <c r="B43" s="194">
        <v>0.06</v>
      </c>
      <c r="C43" s="194">
        <v>0.28999999999999998</v>
      </c>
      <c r="D43" s="553"/>
      <c r="E43" s="553"/>
      <c r="F43" s="704">
        <v>0</v>
      </c>
      <c r="G43" s="194">
        <v>0.47</v>
      </c>
      <c r="H43" s="553"/>
      <c r="I43" s="553"/>
      <c r="J43" s="194">
        <v>0</v>
      </c>
      <c r="K43" s="194">
        <v>0.47</v>
      </c>
      <c r="L43" s="194">
        <v>0.02</v>
      </c>
      <c r="M43" s="194">
        <v>0.44</v>
      </c>
      <c r="R43" s="95"/>
      <c r="U43" s="62"/>
      <c r="V43" s="62"/>
      <c r="W43" s="95"/>
      <c r="Z43" s="332"/>
    </row>
    <row r="44" spans="1:26" ht="15" customHeight="1" x14ac:dyDescent="0.3">
      <c r="A44" s="50">
        <v>41</v>
      </c>
      <c r="B44" s="194">
        <v>5.8999999999999997E-2</v>
      </c>
      <c r="C44" s="194">
        <v>0.29299999999999998</v>
      </c>
      <c r="D44" s="553"/>
      <c r="E44" s="553"/>
      <c r="F44" s="553"/>
      <c r="G44" s="553"/>
      <c r="H44" s="553"/>
      <c r="I44" s="553"/>
      <c r="J44" s="588"/>
      <c r="K44" s="588"/>
      <c r="L44" s="704">
        <v>1.7999999999999999E-2</v>
      </c>
      <c r="M44" s="194">
        <v>0.443</v>
      </c>
      <c r="R44" s="95"/>
      <c r="Z44" s="332"/>
    </row>
    <row r="45" spans="1:26" ht="15" customHeight="1" x14ac:dyDescent="0.3">
      <c r="A45" s="50">
        <v>42</v>
      </c>
      <c r="B45" s="194">
        <v>5.8000000000000003E-2</v>
      </c>
      <c r="C45" s="194">
        <v>0.29599999999999999</v>
      </c>
      <c r="D45" s="553"/>
      <c r="E45" s="553"/>
      <c r="F45" s="553"/>
      <c r="G45" s="553"/>
      <c r="H45" s="553"/>
      <c r="I45" s="553"/>
      <c r="J45" s="588"/>
      <c r="K45" s="588"/>
      <c r="L45" s="704">
        <v>1.6E-2</v>
      </c>
      <c r="M45" s="194">
        <v>0.44600000000000001</v>
      </c>
      <c r="Z45" s="332"/>
    </row>
    <row r="46" spans="1:26" ht="15" customHeight="1" x14ac:dyDescent="0.3">
      <c r="A46" s="50">
        <v>43</v>
      </c>
      <c r="B46" s="194">
        <v>5.7000000000000002E-2</v>
      </c>
      <c r="C46" s="194">
        <v>0.29899999999999999</v>
      </c>
      <c r="D46" s="553"/>
      <c r="E46" s="553"/>
      <c r="F46" s="553"/>
      <c r="G46" s="553"/>
      <c r="H46" s="553"/>
      <c r="I46" s="553"/>
      <c r="J46" s="588"/>
      <c r="K46" s="588"/>
      <c r="L46" s="704">
        <v>1.4E-2</v>
      </c>
      <c r="M46" s="194">
        <v>0.44900000000000001</v>
      </c>
      <c r="R46" s="95"/>
      <c r="U46" s="62"/>
      <c r="V46" s="62"/>
      <c r="W46" s="95"/>
      <c r="Z46" s="332"/>
    </row>
    <row r="47" spans="1:26" ht="15" customHeight="1" x14ac:dyDescent="0.3">
      <c r="A47" s="50">
        <v>44</v>
      </c>
      <c r="B47" s="194">
        <v>5.6000000000000001E-2</v>
      </c>
      <c r="C47" s="194">
        <v>0.30199999999999999</v>
      </c>
      <c r="D47" s="553"/>
      <c r="E47" s="553"/>
      <c r="F47" s="553"/>
      <c r="G47" s="553"/>
      <c r="H47" s="553"/>
      <c r="I47" s="553"/>
      <c r="J47" s="588"/>
      <c r="K47" s="588"/>
      <c r="L47" s="704">
        <v>1.2E-2</v>
      </c>
      <c r="M47" s="194">
        <v>0.45200000000000001</v>
      </c>
      <c r="R47" s="95"/>
      <c r="U47" s="62"/>
      <c r="V47" s="62"/>
      <c r="W47" s="95"/>
      <c r="Z47" s="332"/>
    </row>
    <row r="48" spans="1:26" ht="15" customHeight="1" x14ac:dyDescent="0.3">
      <c r="A48" s="50">
        <v>45</v>
      </c>
      <c r="B48" s="194">
        <v>5.5E-2</v>
      </c>
      <c r="C48" s="194">
        <v>0.30499999999999999</v>
      </c>
      <c r="D48" s="553"/>
      <c r="E48" s="553"/>
      <c r="F48" s="553"/>
      <c r="G48" s="553"/>
      <c r="H48" s="553"/>
      <c r="I48" s="553"/>
      <c r="J48" s="588"/>
      <c r="K48" s="588"/>
      <c r="L48" s="704">
        <v>0.01</v>
      </c>
      <c r="M48" s="194">
        <v>0.45500000000000002</v>
      </c>
      <c r="R48" s="95"/>
      <c r="Z48" s="332"/>
    </row>
    <row r="49" spans="1:27" ht="15" customHeight="1" x14ac:dyDescent="0.3">
      <c r="A49" s="50">
        <v>46</v>
      </c>
      <c r="B49" s="194">
        <v>5.3999999999999999E-2</v>
      </c>
      <c r="C49" s="194">
        <v>0.308</v>
      </c>
      <c r="D49" s="553"/>
      <c r="E49" s="553"/>
      <c r="F49" s="553"/>
      <c r="G49" s="553"/>
      <c r="H49" s="553"/>
      <c r="I49" s="553"/>
      <c r="J49" s="588"/>
      <c r="K49" s="588"/>
      <c r="L49" s="704">
        <v>8.0000000000000002E-3</v>
      </c>
      <c r="M49" s="194">
        <v>0.45800000000000002</v>
      </c>
      <c r="Z49" s="332"/>
    </row>
    <row r="50" spans="1:27" ht="15" customHeight="1" x14ac:dyDescent="0.3">
      <c r="A50" s="50">
        <v>47</v>
      </c>
      <c r="B50" s="194">
        <v>5.2999999999999999E-2</v>
      </c>
      <c r="C50" s="194">
        <v>0.311</v>
      </c>
      <c r="D50" s="553"/>
      <c r="E50" s="553"/>
      <c r="F50" s="553"/>
      <c r="G50" s="553"/>
      <c r="H50" s="553"/>
      <c r="I50" s="553"/>
      <c r="J50" s="588"/>
      <c r="K50" s="588"/>
      <c r="L50" s="704">
        <v>6.0000000000000001E-3</v>
      </c>
      <c r="M50" s="194">
        <v>0.46100000000000002</v>
      </c>
      <c r="Z50" s="332"/>
    </row>
    <row r="51" spans="1:27" ht="15" customHeight="1" x14ac:dyDescent="0.3">
      <c r="A51" s="50">
        <v>48</v>
      </c>
      <c r="B51" s="194">
        <v>5.1999999999999998E-2</v>
      </c>
      <c r="C51" s="194">
        <v>0.314</v>
      </c>
      <c r="D51" s="553"/>
      <c r="E51" s="553"/>
      <c r="F51" s="553"/>
      <c r="G51" s="553"/>
      <c r="H51" s="553"/>
      <c r="I51" s="553"/>
      <c r="J51" s="588"/>
      <c r="K51" s="588"/>
      <c r="L51" s="704">
        <v>4.0000000000000001E-3</v>
      </c>
      <c r="M51" s="194">
        <v>0.46400000000000002</v>
      </c>
      <c r="R51" s="95"/>
      <c r="U51" s="62"/>
      <c r="V51" s="62"/>
      <c r="W51" s="95"/>
      <c r="Z51" s="332"/>
    </row>
    <row r="52" spans="1:27" ht="15" customHeight="1" x14ac:dyDescent="0.3">
      <c r="A52" s="50">
        <v>49</v>
      </c>
      <c r="B52" s="194">
        <v>5.0999999999999997E-2</v>
      </c>
      <c r="C52" s="194">
        <v>0.317</v>
      </c>
      <c r="D52" s="553"/>
      <c r="E52" s="553"/>
      <c r="F52" s="553"/>
      <c r="G52" s="553"/>
      <c r="H52" s="553"/>
      <c r="I52" s="553"/>
      <c r="J52" s="588"/>
      <c r="K52" s="588"/>
      <c r="L52" s="704">
        <v>2E-3</v>
      </c>
      <c r="M52" s="194">
        <v>0.46700000000000003</v>
      </c>
      <c r="R52" s="95"/>
      <c r="U52" s="62"/>
      <c r="V52" s="62"/>
      <c r="W52" s="95"/>
      <c r="Z52" s="332"/>
    </row>
    <row r="53" spans="1:27" ht="15" customHeight="1" x14ac:dyDescent="0.3">
      <c r="A53" s="50">
        <v>50</v>
      </c>
      <c r="B53" s="194">
        <v>0.05</v>
      </c>
      <c r="C53" s="194">
        <v>0.32</v>
      </c>
      <c r="D53" s="553"/>
      <c r="E53" s="553"/>
      <c r="F53" s="553"/>
      <c r="G53" s="553"/>
      <c r="H53" s="553"/>
      <c r="I53" s="553"/>
      <c r="J53" s="588"/>
      <c r="K53" s="588"/>
      <c r="L53" s="704">
        <v>0</v>
      </c>
      <c r="M53" s="194">
        <v>0.47</v>
      </c>
      <c r="R53" s="95"/>
      <c r="Z53" s="332"/>
    </row>
    <row r="54" spans="1:27" ht="15" customHeight="1" x14ac:dyDescent="0.3">
      <c r="A54" s="50">
        <v>51</v>
      </c>
      <c r="B54" s="194">
        <v>4.9000000000000002E-2</v>
      </c>
      <c r="C54" s="194">
        <v>0.32300000000000001</v>
      </c>
      <c r="D54" s="703"/>
      <c r="E54" s="50"/>
      <c r="F54" s="553"/>
      <c r="G54" s="553"/>
      <c r="H54" s="703"/>
      <c r="I54" s="50"/>
      <c r="J54" s="588"/>
      <c r="K54" s="588"/>
      <c r="L54" s="588"/>
      <c r="M54" s="553"/>
      <c r="Z54" s="332"/>
      <c r="AA54" s="333"/>
    </row>
    <row r="55" spans="1:27" ht="15" customHeight="1" x14ac:dyDescent="0.3">
      <c r="A55" s="50">
        <v>52</v>
      </c>
      <c r="B55" s="194">
        <v>4.8000000000000001E-2</v>
      </c>
      <c r="C55" s="194">
        <v>0.32600000000000001</v>
      </c>
      <c r="D55" s="703"/>
      <c r="E55" s="50"/>
      <c r="F55" s="553"/>
      <c r="G55" s="553"/>
      <c r="H55" s="703"/>
      <c r="I55" s="50"/>
      <c r="J55" s="588"/>
      <c r="K55" s="588"/>
      <c r="L55" s="588"/>
      <c r="M55" s="553"/>
      <c r="R55" s="95"/>
      <c r="U55" s="62"/>
      <c r="V55" s="62"/>
      <c r="W55" s="95"/>
      <c r="Z55" s="332"/>
      <c r="AA55" s="333"/>
    </row>
    <row r="56" spans="1:27" ht="15" customHeight="1" x14ac:dyDescent="0.3">
      <c r="A56" s="50">
        <v>53</v>
      </c>
      <c r="B56" s="194">
        <v>4.7E-2</v>
      </c>
      <c r="C56" s="194">
        <v>0.32900000000000001</v>
      </c>
      <c r="D56" s="703"/>
      <c r="E56" s="50"/>
      <c r="F56" s="553"/>
      <c r="G56" s="553"/>
      <c r="H56" s="703"/>
      <c r="I56" s="50"/>
      <c r="J56" s="588"/>
      <c r="K56" s="588"/>
      <c r="L56" s="588"/>
      <c r="M56" s="553"/>
      <c r="R56" s="95"/>
      <c r="U56" s="62"/>
      <c r="V56" s="62"/>
      <c r="W56" s="95"/>
      <c r="Z56" s="332"/>
      <c r="AA56" s="333"/>
    </row>
    <row r="57" spans="1:27" ht="15" customHeight="1" x14ac:dyDescent="0.3">
      <c r="A57" s="50">
        <v>54</v>
      </c>
      <c r="B57" s="194">
        <v>4.5999999999999999E-2</v>
      </c>
      <c r="C57" s="194">
        <v>0.33200000000000002</v>
      </c>
      <c r="D57" s="703"/>
      <c r="E57" s="50"/>
      <c r="F57" s="553"/>
      <c r="G57" s="553"/>
      <c r="H57" s="703"/>
      <c r="I57" s="50"/>
      <c r="J57" s="588"/>
      <c r="K57" s="588"/>
      <c r="L57" s="588"/>
      <c r="M57" s="553"/>
      <c r="R57" s="95"/>
      <c r="Z57" s="332"/>
      <c r="AA57" s="333"/>
    </row>
    <row r="58" spans="1:27" ht="15" customHeight="1" x14ac:dyDescent="0.3">
      <c r="A58" s="50">
        <v>55</v>
      </c>
      <c r="B58" s="194">
        <v>4.4999999999999998E-2</v>
      </c>
      <c r="C58" s="194">
        <v>0.33500000000000002</v>
      </c>
      <c r="D58" s="703"/>
      <c r="E58" s="50"/>
      <c r="F58" s="553"/>
      <c r="G58" s="553"/>
      <c r="H58" s="703"/>
      <c r="I58" s="50"/>
      <c r="J58" s="588"/>
      <c r="K58" s="588"/>
      <c r="L58" s="588"/>
      <c r="M58" s="553"/>
      <c r="Z58" s="332"/>
      <c r="AA58" s="333"/>
    </row>
    <row r="59" spans="1:27" ht="15" customHeight="1" x14ac:dyDescent="0.3">
      <c r="A59" s="50">
        <v>56</v>
      </c>
      <c r="B59" s="194">
        <v>4.3999999999999997E-2</v>
      </c>
      <c r="C59" s="194">
        <v>0.33800000000000002</v>
      </c>
      <c r="D59" s="703"/>
      <c r="E59" s="50"/>
      <c r="F59" s="553"/>
      <c r="G59" s="553"/>
      <c r="H59" s="703"/>
      <c r="I59" s="50"/>
      <c r="J59" s="588"/>
      <c r="K59" s="588"/>
      <c r="L59" s="588"/>
      <c r="M59" s="553"/>
      <c r="R59" s="95"/>
      <c r="U59" s="62"/>
      <c r="V59" s="62"/>
      <c r="W59" s="95"/>
      <c r="Z59" s="332"/>
      <c r="AA59" s="333"/>
    </row>
    <row r="60" spans="1:27" ht="15" customHeight="1" x14ac:dyDescent="0.3">
      <c r="A60" s="50">
        <v>57</v>
      </c>
      <c r="B60" s="194">
        <v>4.2999999999999997E-2</v>
      </c>
      <c r="C60" s="194">
        <v>0.34100000000000003</v>
      </c>
      <c r="D60" s="703"/>
      <c r="E60" s="50"/>
      <c r="F60" s="553"/>
      <c r="G60" s="553"/>
      <c r="H60" s="703"/>
      <c r="I60" s="50"/>
      <c r="J60" s="588"/>
      <c r="K60" s="588"/>
      <c r="L60" s="588"/>
      <c r="M60" s="553"/>
      <c r="R60" s="95"/>
      <c r="U60" s="62"/>
      <c r="V60" s="62"/>
      <c r="W60" s="95"/>
      <c r="Z60" s="332"/>
      <c r="AA60" s="333"/>
    </row>
    <row r="61" spans="1:27" ht="15" customHeight="1" x14ac:dyDescent="0.3">
      <c r="A61" s="50">
        <v>58</v>
      </c>
      <c r="B61" s="194">
        <v>4.2000000000000003E-2</v>
      </c>
      <c r="C61" s="194">
        <v>0.34399999999999997</v>
      </c>
      <c r="D61" s="703"/>
      <c r="E61" s="50"/>
      <c r="F61" s="553"/>
      <c r="G61" s="553"/>
      <c r="H61" s="703"/>
      <c r="I61" s="50"/>
      <c r="J61" s="588"/>
      <c r="K61" s="588"/>
      <c r="L61" s="588"/>
      <c r="M61" s="553"/>
      <c r="R61" s="95"/>
      <c r="Z61" s="332"/>
      <c r="AA61" s="333"/>
    </row>
    <row r="62" spans="1:27" ht="15" customHeight="1" x14ac:dyDescent="0.3">
      <c r="A62" s="50">
        <v>59</v>
      </c>
      <c r="B62" s="194">
        <v>4.1000000000000002E-2</v>
      </c>
      <c r="C62" s="194">
        <v>0.34699999999999998</v>
      </c>
      <c r="D62" s="703"/>
      <c r="E62" s="50"/>
      <c r="F62" s="553"/>
      <c r="G62" s="553"/>
      <c r="H62" s="703"/>
      <c r="I62" s="50"/>
      <c r="J62" s="588"/>
      <c r="K62" s="588"/>
      <c r="L62" s="588"/>
      <c r="M62" s="553"/>
      <c r="Z62" s="332"/>
      <c r="AA62" s="333"/>
    </row>
    <row r="63" spans="1:27" ht="15" customHeight="1" x14ac:dyDescent="0.3">
      <c r="A63" s="50">
        <v>60</v>
      </c>
      <c r="B63" s="194">
        <v>0.04</v>
      </c>
      <c r="C63" s="194">
        <v>0.35</v>
      </c>
      <c r="D63" s="703"/>
      <c r="E63" s="50"/>
      <c r="F63" s="553"/>
      <c r="G63" s="553"/>
      <c r="H63" s="703"/>
      <c r="I63" s="50"/>
      <c r="J63" s="588"/>
      <c r="K63" s="588"/>
      <c r="L63" s="588"/>
      <c r="M63" s="553"/>
      <c r="Z63" s="332"/>
      <c r="AA63" s="333"/>
    </row>
    <row r="64" spans="1:27" ht="15" customHeight="1" x14ac:dyDescent="0.3">
      <c r="A64" s="50">
        <v>61</v>
      </c>
      <c r="B64" s="194">
        <v>3.9E-2</v>
      </c>
      <c r="C64" s="194">
        <v>0.35299999999999998</v>
      </c>
      <c r="D64" s="703"/>
      <c r="E64" s="50"/>
      <c r="F64" s="553"/>
      <c r="G64" s="553"/>
      <c r="H64" s="50"/>
      <c r="I64" s="50"/>
      <c r="J64" s="588"/>
      <c r="K64" s="588"/>
      <c r="L64" s="588"/>
      <c r="M64" s="553"/>
      <c r="R64" s="95"/>
      <c r="U64" s="62"/>
      <c r="V64" s="62"/>
      <c r="W64" s="95"/>
      <c r="Z64" s="332"/>
      <c r="AA64" s="333"/>
    </row>
    <row r="65" spans="1:27" ht="15" customHeight="1" x14ac:dyDescent="0.3">
      <c r="A65" s="50">
        <v>62</v>
      </c>
      <c r="B65" s="194">
        <v>3.7999999999999999E-2</v>
      </c>
      <c r="C65" s="194">
        <v>0.35599999999999998</v>
      </c>
      <c r="D65" s="703"/>
      <c r="E65" s="50"/>
      <c r="F65" s="553"/>
      <c r="G65" s="553"/>
      <c r="H65" s="50"/>
      <c r="I65" s="50"/>
      <c r="J65" s="588"/>
      <c r="K65" s="588"/>
      <c r="L65" s="588"/>
      <c r="M65" s="553"/>
      <c r="R65" s="95"/>
      <c r="U65" s="62"/>
      <c r="V65" s="62"/>
      <c r="W65" s="95"/>
      <c r="Z65" s="332"/>
      <c r="AA65" s="333"/>
    </row>
    <row r="66" spans="1:27" ht="15" customHeight="1" x14ac:dyDescent="0.3">
      <c r="A66" s="50">
        <v>63</v>
      </c>
      <c r="B66" s="194">
        <v>3.6999999999999998E-2</v>
      </c>
      <c r="C66" s="194">
        <v>0.35899999999999999</v>
      </c>
      <c r="D66" s="703"/>
      <c r="E66" s="50"/>
      <c r="F66" s="553"/>
      <c r="G66" s="553"/>
      <c r="H66" s="50"/>
      <c r="I66" s="50"/>
      <c r="J66" s="588"/>
      <c r="K66" s="588"/>
      <c r="L66" s="588"/>
      <c r="M66" s="553"/>
      <c r="R66" s="95"/>
      <c r="Z66" s="332"/>
      <c r="AA66" s="333"/>
    </row>
    <row r="67" spans="1:27" ht="15" customHeight="1" x14ac:dyDescent="0.3">
      <c r="A67" s="50">
        <v>64</v>
      </c>
      <c r="B67" s="194">
        <v>3.5999999999999997E-2</v>
      </c>
      <c r="C67" s="194">
        <v>0.36199999999999999</v>
      </c>
      <c r="D67" s="703"/>
      <c r="E67" s="50"/>
      <c r="F67" s="553"/>
      <c r="G67" s="553"/>
      <c r="H67" s="50"/>
      <c r="I67" s="50"/>
      <c r="J67" s="588"/>
      <c r="K67" s="588"/>
      <c r="L67" s="588"/>
      <c r="M67" s="553"/>
      <c r="R67" s="95"/>
      <c r="Z67" s="332"/>
      <c r="AA67" s="333"/>
    </row>
    <row r="68" spans="1:27" ht="15" customHeight="1" x14ac:dyDescent="0.3">
      <c r="A68" s="50">
        <v>65</v>
      </c>
      <c r="B68" s="194">
        <v>3.5000000000000003E-2</v>
      </c>
      <c r="C68" s="194">
        <v>0.36499999999999999</v>
      </c>
      <c r="D68" s="703"/>
      <c r="E68" s="50"/>
      <c r="F68" s="553"/>
      <c r="G68" s="553"/>
      <c r="H68" s="50"/>
      <c r="I68" s="50"/>
      <c r="J68" s="588"/>
      <c r="K68" s="588"/>
      <c r="L68" s="588"/>
      <c r="M68" s="553"/>
      <c r="Z68" s="332"/>
      <c r="AA68" s="333"/>
    </row>
    <row r="69" spans="1:27" ht="15" customHeight="1" x14ac:dyDescent="0.3">
      <c r="A69" s="50">
        <v>66</v>
      </c>
      <c r="B69" s="194">
        <v>3.4000000000000002E-2</v>
      </c>
      <c r="C69" s="194">
        <v>0.36799999999999999</v>
      </c>
      <c r="D69" s="703"/>
      <c r="E69" s="50"/>
      <c r="F69" s="553"/>
      <c r="G69" s="553"/>
      <c r="H69" s="50"/>
      <c r="I69" s="50"/>
      <c r="J69" s="588"/>
      <c r="K69" s="588"/>
      <c r="L69" s="588"/>
      <c r="M69" s="553"/>
      <c r="Z69" s="332"/>
      <c r="AA69" s="333"/>
    </row>
    <row r="70" spans="1:27" ht="15" customHeight="1" x14ac:dyDescent="0.3">
      <c r="A70" s="50">
        <v>67</v>
      </c>
      <c r="B70" s="194">
        <v>3.3000000000000002E-2</v>
      </c>
      <c r="C70" s="194">
        <v>0.371</v>
      </c>
      <c r="D70" s="703"/>
      <c r="E70" s="50"/>
      <c r="F70" s="553"/>
      <c r="G70" s="553"/>
      <c r="H70" s="50"/>
      <c r="I70" s="50"/>
      <c r="J70" s="588"/>
      <c r="K70" s="588"/>
      <c r="L70" s="588"/>
      <c r="M70" s="553"/>
      <c r="R70" s="95"/>
      <c r="U70" s="62"/>
      <c r="V70" s="62"/>
      <c r="W70" s="95"/>
      <c r="Z70" s="332"/>
      <c r="AA70" s="333"/>
    </row>
    <row r="71" spans="1:27" ht="15" customHeight="1" x14ac:dyDescent="0.3">
      <c r="A71" s="50">
        <v>68</v>
      </c>
      <c r="B71" s="194">
        <v>3.2000000000000001E-2</v>
      </c>
      <c r="C71" s="194">
        <v>0.374</v>
      </c>
      <c r="D71" s="703"/>
      <c r="E71" s="50"/>
      <c r="F71" s="553"/>
      <c r="G71" s="553"/>
      <c r="H71" s="50"/>
      <c r="I71" s="50"/>
      <c r="J71" s="588"/>
      <c r="K71" s="588"/>
      <c r="L71" s="588"/>
      <c r="M71" s="553"/>
      <c r="R71" s="95"/>
      <c r="Z71" s="332"/>
      <c r="AA71" s="333"/>
    </row>
    <row r="72" spans="1:27" ht="15" customHeight="1" x14ac:dyDescent="0.3">
      <c r="A72" s="50">
        <v>69</v>
      </c>
      <c r="B72" s="194">
        <v>3.1E-2</v>
      </c>
      <c r="C72" s="194">
        <v>0.377</v>
      </c>
      <c r="D72" s="703"/>
      <c r="E72" s="50"/>
      <c r="F72" s="553"/>
      <c r="G72" s="553"/>
      <c r="H72" s="50"/>
      <c r="I72" s="50"/>
      <c r="J72" s="588"/>
      <c r="K72" s="588"/>
      <c r="L72" s="588"/>
      <c r="M72" s="553"/>
      <c r="R72" s="95"/>
      <c r="U72" s="62"/>
      <c r="V72" s="62"/>
      <c r="W72" s="95"/>
      <c r="Z72" s="332"/>
      <c r="AA72" s="333"/>
    </row>
    <row r="73" spans="1:27" ht="15" customHeight="1" x14ac:dyDescent="0.3">
      <c r="A73" s="50">
        <v>70</v>
      </c>
      <c r="B73" s="194">
        <v>0.03</v>
      </c>
      <c r="C73" s="194">
        <v>0.38</v>
      </c>
      <c r="D73" s="703"/>
      <c r="E73" s="50"/>
      <c r="F73" s="553"/>
      <c r="G73" s="553"/>
      <c r="H73" s="50"/>
      <c r="I73" s="50"/>
      <c r="J73" s="588"/>
      <c r="K73" s="588"/>
      <c r="L73" s="588"/>
      <c r="M73" s="553"/>
      <c r="R73" s="95"/>
      <c r="Z73" s="332"/>
      <c r="AA73" s="333"/>
    </row>
    <row r="74" spans="1:27" ht="15" customHeight="1" x14ac:dyDescent="0.3">
      <c r="A74" s="50">
        <v>71</v>
      </c>
      <c r="B74" s="194">
        <v>2.9000000000000001E-2</v>
      </c>
      <c r="C74" s="194">
        <v>0.38300000000000001</v>
      </c>
      <c r="D74" s="703"/>
      <c r="E74" s="50"/>
      <c r="F74" s="553"/>
      <c r="G74" s="553"/>
      <c r="H74" s="703"/>
      <c r="I74" s="50"/>
      <c r="J74" s="588"/>
      <c r="K74" s="588"/>
      <c r="L74" s="588"/>
      <c r="M74" s="553"/>
      <c r="R74" s="95"/>
      <c r="U74" s="62"/>
      <c r="V74" s="62"/>
      <c r="W74" s="95"/>
      <c r="Z74" s="332"/>
      <c r="AA74" s="333"/>
    </row>
    <row r="75" spans="1:27" ht="15" customHeight="1" x14ac:dyDescent="0.3">
      <c r="A75" s="50">
        <v>72</v>
      </c>
      <c r="B75" s="194">
        <v>2.8000000000000001E-2</v>
      </c>
      <c r="C75" s="194">
        <v>0.38600000000000001</v>
      </c>
      <c r="D75" s="703"/>
      <c r="E75" s="50"/>
      <c r="F75" s="553"/>
      <c r="G75" s="553"/>
      <c r="H75" s="703"/>
      <c r="I75" s="50"/>
      <c r="J75" s="588"/>
      <c r="K75" s="588"/>
      <c r="L75" s="588"/>
      <c r="M75" s="553"/>
      <c r="R75" s="95"/>
      <c r="Z75" s="332"/>
      <c r="AA75" s="333"/>
    </row>
    <row r="76" spans="1:27" ht="15" customHeight="1" x14ac:dyDescent="0.3">
      <c r="A76" s="50">
        <v>73</v>
      </c>
      <c r="B76" s="194">
        <v>2.7E-2</v>
      </c>
      <c r="C76" s="194">
        <v>0.38900000000000001</v>
      </c>
      <c r="D76" s="703"/>
      <c r="E76" s="50"/>
      <c r="F76" s="553"/>
      <c r="G76" s="553"/>
      <c r="H76" s="703"/>
      <c r="I76" s="50"/>
      <c r="J76" s="588"/>
      <c r="K76" s="588"/>
      <c r="L76" s="588"/>
      <c r="M76" s="553"/>
      <c r="R76" s="95"/>
      <c r="U76" s="62"/>
      <c r="V76" s="62"/>
      <c r="W76" s="95"/>
      <c r="Z76" s="332"/>
      <c r="AA76" s="333"/>
    </row>
    <row r="77" spans="1:27" ht="15" customHeight="1" x14ac:dyDescent="0.3">
      <c r="A77" s="50">
        <v>74</v>
      </c>
      <c r="B77" s="194">
        <v>2.5999999999999999E-2</v>
      </c>
      <c r="C77" s="194">
        <v>0.39200000000000002</v>
      </c>
      <c r="D77" s="703"/>
      <c r="E77" s="50"/>
      <c r="F77" s="553"/>
      <c r="G77" s="553"/>
      <c r="H77" s="703"/>
      <c r="I77" s="50"/>
      <c r="J77" s="588"/>
      <c r="K77" s="588"/>
      <c r="L77" s="588"/>
      <c r="M77" s="553"/>
      <c r="R77" s="95"/>
      <c r="Z77" s="332"/>
      <c r="AA77" s="333"/>
    </row>
    <row r="78" spans="1:27" ht="15" customHeight="1" x14ac:dyDescent="0.3">
      <c r="A78" s="50">
        <v>75</v>
      </c>
      <c r="B78" s="194">
        <v>2.5000000000000001E-2</v>
      </c>
      <c r="C78" s="194">
        <v>0.39500000000000002</v>
      </c>
      <c r="D78" s="703"/>
      <c r="E78" s="50"/>
      <c r="F78" s="553"/>
      <c r="G78" s="553"/>
      <c r="H78" s="703"/>
      <c r="I78" s="50"/>
      <c r="J78" s="588"/>
      <c r="K78" s="588"/>
      <c r="L78" s="588"/>
      <c r="M78" s="553"/>
      <c r="Z78" s="332"/>
      <c r="AA78" s="333"/>
    </row>
    <row r="79" spans="1:27" ht="15" customHeight="1" x14ac:dyDescent="0.3">
      <c r="A79" s="50">
        <v>76</v>
      </c>
      <c r="B79" s="194">
        <v>2.4E-2</v>
      </c>
      <c r="C79" s="194">
        <v>0.39800000000000002</v>
      </c>
      <c r="D79" s="703"/>
      <c r="E79" s="50"/>
      <c r="F79" s="553"/>
      <c r="G79" s="553"/>
      <c r="H79" s="703"/>
      <c r="I79" s="50"/>
      <c r="J79" s="588"/>
      <c r="K79" s="588"/>
      <c r="L79" s="588"/>
      <c r="M79" s="553"/>
      <c r="Z79" s="332"/>
      <c r="AA79" s="333"/>
    </row>
    <row r="80" spans="1:27" ht="15" customHeight="1" x14ac:dyDescent="0.3">
      <c r="A80" s="50">
        <v>77</v>
      </c>
      <c r="B80" s="194">
        <v>2.3E-2</v>
      </c>
      <c r="C80" s="194">
        <v>0.40100000000000002</v>
      </c>
      <c r="D80" s="703"/>
      <c r="E80" s="50"/>
      <c r="F80" s="553"/>
      <c r="G80" s="553"/>
      <c r="H80" s="703"/>
      <c r="I80" s="50"/>
      <c r="J80" s="588"/>
      <c r="K80" s="588"/>
      <c r="L80" s="588"/>
      <c r="M80" s="553"/>
      <c r="O80" s="99"/>
      <c r="R80" s="95"/>
      <c r="U80" s="62"/>
      <c r="V80" s="62"/>
      <c r="W80" s="95"/>
      <c r="Z80" s="332"/>
      <c r="AA80" s="333"/>
    </row>
    <row r="81" spans="1:27" ht="15" customHeight="1" x14ac:dyDescent="0.3">
      <c r="A81" s="50">
        <v>78</v>
      </c>
      <c r="B81" s="194">
        <v>2.1999999999999999E-2</v>
      </c>
      <c r="C81" s="194">
        <v>0.40400000000000003</v>
      </c>
      <c r="D81" s="703"/>
      <c r="E81" s="50"/>
      <c r="F81" s="553"/>
      <c r="G81" s="553"/>
      <c r="H81" s="703"/>
      <c r="I81" s="50"/>
      <c r="J81" s="588"/>
      <c r="K81" s="611"/>
      <c r="L81" s="588"/>
      <c r="M81" s="553"/>
      <c r="O81" s="99"/>
      <c r="R81" s="95"/>
      <c r="Z81" s="332"/>
      <c r="AA81" s="333"/>
    </row>
    <row r="82" spans="1:27" ht="15" customHeight="1" x14ac:dyDescent="0.3">
      <c r="A82" s="50">
        <v>79</v>
      </c>
      <c r="B82" s="194">
        <v>2.1000000000000001E-2</v>
      </c>
      <c r="C82" s="194">
        <v>0.40699999999999997</v>
      </c>
      <c r="D82" s="703"/>
      <c r="E82" s="50"/>
      <c r="F82" s="553"/>
      <c r="G82" s="553"/>
      <c r="H82" s="703"/>
      <c r="I82" s="50"/>
      <c r="J82" s="588"/>
      <c r="K82" s="588"/>
      <c r="L82" s="588"/>
      <c r="M82" s="553"/>
      <c r="O82" s="99"/>
      <c r="R82" s="95"/>
      <c r="U82" s="62"/>
      <c r="V82" s="62"/>
      <c r="W82" s="95"/>
      <c r="Z82" s="332"/>
      <c r="AA82" s="333"/>
    </row>
    <row r="83" spans="1:27" ht="15" customHeight="1" x14ac:dyDescent="0.3">
      <c r="A83" s="50">
        <v>80</v>
      </c>
      <c r="B83" s="194">
        <v>0.02</v>
      </c>
      <c r="C83" s="194">
        <v>0.41</v>
      </c>
      <c r="D83" s="703"/>
      <c r="E83" s="50"/>
      <c r="F83" s="553"/>
      <c r="G83" s="553"/>
      <c r="H83" s="703"/>
      <c r="I83" s="50"/>
      <c r="J83" s="588"/>
      <c r="K83" s="588"/>
      <c r="L83" s="588"/>
      <c r="M83" s="553"/>
      <c r="O83" s="99"/>
      <c r="R83" s="95"/>
      <c r="Z83" s="332"/>
      <c r="AA83" s="333"/>
    </row>
    <row r="84" spans="1:27" ht="15" customHeight="1" x14ac:dyDescent="0.3">
      <c r="A84" s="50">
        <v>81</v>
      </c>
      <c r="B84" s="194">
        <v>1.9E-2</v>
      </c>
      <c r="C84" s="194">
        <v>0.41299999999999998</v>
      </c>
      <c r="D84" s="703"/>
      <c r="E84" s="50"/>
      <c r="F84" s="553"/>
      <c r="G84" s="553"/>
      <c r="H84" s="703"/>
      <c r="I84" s="50"/>
      <c r="J84" s="588"/>
      <c r="K84" s="588"/>
      <c r="L84" s="588"/>
      <c r="M84" s="553"/>
      <c r="O84" s="99"/>
      <c r="R84" s="95"/>
      <c r="U84" s="62"/>
      <c r="V84" s="62"/>
      <c r="W84" s="95"/>
      <c r="Z84" s="332"/>
      <c r="AA84" s="333"/>
    </row>
    <row r="85" spans="1:27" ht="15" customHeight="1" x14ac:dyDescent="0.3">
      <c r="A85" s="50">
        <v>82</v>
      </c>
      <c r="B85" s="194">
        <v>1.7999999999999999E-2</v>
      </c>
      <c r="C85" s="194">
        <v>0.41599999999999998</v>
      </c>
      <c r="D85" s="703"/>
      <c r="E85" s="50"/>
      <c r="F85" s="553"/>
      <c r="G85" s="553"/>
      <c r="H85" s="703"/>
      <c r="I85" s="50"/>
      <c r="J85" s="588"/>
      <c r="K85" s="588"/>
      <c r="L85" s="588"/>
      <c r="M85" s="553"/>
      <c r="O85" s="99"/>
      <c r="R85" s="95"/>
      <c r="Z85" s="332"/>
      <c r="AA85" s="333"/>
    </row>
    <row r="86" spans="1:27" ht="15" customHeight="1" x14ac:dyDescent="0.3">
      <c r="A86" s="50">
        <v>83</v>
      </c>
      <c r="B86" s="194">
        <v>1.7000000000000001E-2</v>
      </c>
      <c r="C86" s="194">
        <v>0.41899999999999998</v>
      </c>
      <c r="D86" s="703"/>
      <c r="E86" s="50"/>
      <c r="F86" s="553"/>
      <c r="G86" s="553"/>
      <c r="H86" s="703"/>
      <c r="I86" s="50"/>
      <c r="J86" s="588"/>
      <c r="K86" s="588"/>
      <c r="L86" s="588"/>
      <c r="M86" s="553"/>
      <c r="O86" s="99"/>
      <c r="R86" s="95"/>
      <c r="U86" s="62"/>
      <c r="V86" s="62"/>
      <c r="W86" s="95"/>
      <c r="Z86" s="332"/>
      <c r="AA86" s="333"/>
    </row>
    <row r="87" spans="1:27" ht="15" customHeight="1" x14ac:dyDescent="0.3">
      <c r="A87" s="50">
        <v>84</v>
      </c>
      <c r="B87" s="194">
        <v>1.6E-2</v>
      </c>
      <c r="C87" s="194">
        <v>0.42199999999999999</v>
      </c>
      <c r="D87" s="703"/>
      <c r="E87" s="50"/>
      <c r="F87" s="553"/>
      <c r="G87" s="553"/>
      <c r="H87" s="703"/>
      <c r="I87" s="50"/>
      <c r="J87" s="588"/>
      <c r="K87" s="588"/>
      <c r="L87" s="588"/>
      <c r="M87" s="553"/>
      <c r="O87" s="99"/>
      <c r="R87" s="95"/>
      <c r="Z87" s="332"/>
      <c r="AA87" s="333"/>
    </row>
    <row r="88" spans="1:27" ht="15" customHeight="1" x14ac:dyDescent="0.3">
      <c r="A88" s="50">
        <v>85</v>
      </c>
      <c r="B88" s="194">
        <v>1.4999999999999999E-2</v>
      </c>
      <c r="C88" s="194">
        <v>0.42499999999999999</v>
      </c>
      <c r="D88" s="703"/>
      <c r="E88" s="50"/>
      <c r="F88" s="553"/>
      <c r="G88" s="553"/>
      <c r="H88" s="703"/>
      <c r="I88" s="50"/>
      <c r="J88" s="588"/>
      <c r="K88" s="588"/>
      <c r="L88" s="588"/>
      <c r="M88" s="553"/>
      <c r="Z88" s="332"/>
      <c r="AA88" s="333"/>
    </row>
    <row r="89" spans="1:27" ht="15" customHeight="1" x14ac:dyDescent="0.3">
      <c r="A89" s="50">
        <v>86</v>
      </c>
      <c r="B89" s="194">
        <v>1.4E-2</v>
      </c>
      <c r="C89" s="194">
        <v>0.42799999999999999</v>
      </c>
      <c r="D89" s="703"/>
      <c r="E89" s="50"/>
      <c r="F89" s="553"/>
      <c r="G89" s="553"/>
      <c r="H89" s="703"/>
      <c r="I89" s="50"/>
      <c r="J89" s="588"/>
      <c r="K89" s="588"/>
      <c r="L89" s="588"/>
      <c r="M89" s="553"/>
      <c r="Z89" s="332"/>
      <c r="AA89" s="333"/>
    </row>
    <row r="90" spans="1:27" ht="15" customHeight="1" x14ac:dyDescent="0.3">
      <c r="A90" s="50">
        <v>87</v>
      </c>
      <c r="B90" s="194">
        <v>1.2999999999999999E-2</v>
      </c>
      <c r="C90" s="194">
        <v>0.43099999999999999</v>
      </c>
      <c r="D90" s="703"/>
      <c r="E90" s="50"/>
      <c r="F90" s="553"/>
      <c r="G90" s="553"/>
      <c r="H90" s="703"/>
      <c r="I90" s="50"/>
      <c r="J90" s="588"/>
      <c r="K90" s="588"/>
      <c r="L90" s="588"/>
      <c r="M90" s="553"/>
      <c r="R90" s="95"/>
      <c r="Z90" s="332"/>
      <c r="AA90" s="333"/>
    </row>
    <row r="91" spans="1:27" ht="15" customHeight="1" x14ac:dyDescent="0.3">
      <c r="A91" s="50">
        <v>88</v>
      </c>
      <c r="B91" s="194">
        <v>1.2E-2</v>
      </c>
      <c r="C91" s="194">
        <v>0.434</v>
      </c>
      <c r="D91" s="703"/>
      <c r="E91" s="50"/>
      <c r="F91" s="553"/>
      <c r="G91" s="553"/>
      <c r="H91" s="703"/>
      <c r="I91" s="50"/>
      <c r="J91" s="588"/>
      <c r="K91" s="588"/>
      <c r="L91" s="588"/>
      <c r="M91" s="553"/>
      <c r="R91" s="95"/>
      <c r="Z91" s="332"/>
      <c r="AA91" s="333"/>
    </row>
    <row r="92" spans="1:27" ht="15" customHeight="1" x14ac:dyDescent="0.3">
      <c r="A92" s="50">
        <v>89</v>
      </c>
      <c r="B92" s="194">
        <v>1.0999999999999999E-2</v>
      </c>
      <c r="C92" s="194">
        <v>0.437</v>
      </c>
      <c r="D92" s="703"/>
      <c r="E92" s="50"/>
      <c r="F92" s="553"/>
      <c r="G92" s="553"/>
      <c r="H92" s="703"/>
      <c r="I92" s="50"/>
      <c r="J92" s="588"/>
      <c r="K92" s="588"/>
      <c r="L92" s="588"/>
      <c r="M92" s="553"/>
      <c r="R92" s="95"/>
      <c r="Z92" s="332"/>
      <c r="AA92" s="333"/>
    </row>
    <row r="93" spans="1:27" ht="15" customHeight="1" x14ac:dyDescent="0.3">
      <c r="A93" s="50">
        <v>90</v>
      </c>
      <c r="B93" s="194">
        <v>0.01</v>
      </c>
      <c r="C93" s="194">
        <v>0.44</v>
      </c>
      <c r="D93" s="703"/>
      <c r="E93" s="50"/>
      <c r="F93" s="553"/>
      <c r="G93" s="553"/>
      <c r="H93" s="703"/>
      <c r="I93" s="50"/>
      <c r="J93" s="588"/>
      <c r="K93" s="588"/>
      <c r="L93" s="588"/>
      <c r="M93" s="553"/>
      <c r="Z93" s="332"/>
      <c r="AA93" s="333"/>
    </row>
    <row r="94" spans="1:27" ht="15" customHeight="1" x14ac:dyDescent="0.3">
      <c r="A94" s="50">
        <v>91</v>
      </c>
      <c r="B94" s="194">
        <v>8.9999999999999993E-3</v>
      </c>
      <c r="C94" s="194">
        <v>0.443</v>
      </c>
      <c r="D94" s="50"/>
      <c r="E94" s="50"/>
      <c r="F94" s="553"/>
      <c r="G94" s="553"/>
      <c r="H94" s="259"/>
      <c r="I94" s="50"/>
      <c r="J94" s="50"/>
      <c r="K94" s="588"/>
      <c r="L94" s="588"/>
      <c r="M94" s="588"/>
      <c r="Z94" s="332"/>
      <c r="AA94" s="333"/>
    </row>
    <row r="95" spans="1:27" ht="15" customHeight="1" x14ac:dyDescent="0.3">
      <c r="A95" s="50">
        <v>92</v>
      </c>
      <c r="B95" s="194">
        <v>8.0000000000000002E-3</v>
      </c>
      <c r="C95" s="194">
        <v>0.44600000000000001</v>
      </c>
      <c r="D95" s="259"/>
      <c r="E95" s="50"/>
      <c r="F95" s="553"/>
      <c r="G95" s="553"/>
      <c r="H95" s="50"/>
      <c r="I95" s="50"/>
      <c r="J95" s="50"/>
      <c r="K95" s="588"/>
      <c r="L95" s="588"/>
      <c r="M95" s="588"/>
      <c r="R95" s="95"/>
      <c r="Z95" s="332"/>
      <c r="AA95" s="333"/>
    </row>
    <row r="96" spans="1:27" ht="15" customHeight="1" x14ac:dyDescent="0.3">
      <c r="A96" s="50">
        <v>93</v>
      </c>
      <c r="B96" s="194">
        <v>7.0000000000000001E-3</v>
      </c>
      <c r="C96" s="194">
        <v>0.44900000000000001</v>
      </c>
      <c r="D96" s="703"/>
      <c r="E96" s="50"/>
      <c r="F96" s="553"/>
      <c r="G96" s="553"/>
      <c r="H96" s="50"/>
      <c r="I96" s="50"/>
      <c r="J96" s="50"/>
      <c r="K96" s="588"/>
      <c r="L96" s="588"/>
      <c r="M96" s="588"/>
      <c r="R96" s="95"/>
      <c r="Z96" s="332"/>
      <c r="AA96" s="333"/>
    </row>
    <row r="97" spans="1:27" ht="15" customHeight="1" x14ac:dyDescent="0.3">
      <c r="A97" s="50">
        <v>94</v>
      </c>
      <c r="B97" s="194">
        <v>6.0000000000000001E-3</v>
      </c>
      <c r="C97" s="194">
        <v>0.45200000000000001</v>
      </c>
      <c r="D97" s="703"/>
      <c r="E97" s="50"/>
      <c r="F97" s="553"/>
      <c r="G97" s="553"/>
      <c r="H97" s="50"/>
      <c r="I97" s="50"/>
      <c r="J97" s="50"/>
      <c r="K97" s="588"/>
      <c r="L97" s="588"/>
      <c r="M97" s="588"/>
      <c r="R97" s="95"/>
      <c r="Z97" s="332"/>
      <c r="AA97" s="333"/>
    </row>
    <row r="98" spans="1:27" ht="15" customHeight="1" x14ac:dyDescent="0.3">
      <c r="A98" s="50">
        <v>95</v>
      </c>
      <c r="B98" s="194">
        <v>5.0000000000000001E-3</v>
      </c>
      <c r="C98" s="194">
        <v>0.45500000000000002</v>
      </c>
      <c r="D98" s="703"/>
      <c r="E98" s="50"/>
      <c r="F98" s="553"/>
      <c r="G98" s="553"/>
      <c r="H98" s="50"/>
      <c r="I98" s="50"/>
      <c r="J98" s="50"/>
      <c r="K98" s="588"/>
      <c r="L98" s="588"/>
      <c r="M98" s="588"/>
      <c r="Z98" s="332"/>
      <c r="AA98" s="333"/>
    </row>
    <row r="99" spans="1:27" ht="15" customHeight="1" x14ac:dyDescent="0.3">
      <c r="A99" s="50">
        <v>96</v>
      </c>
      <c r="B99" s="194">
        <v>4.0000000000000001E-3</v>
      </c>
      <c r="C99" s="194">
        <v>0.45800000000000002</v>
      </c>
      <c r="D99" s="703"/>
      <c r="E99" s="50"/>
      <c r="F99" s="553"/>
      <c r="G99" s="553"/>
      <c r="H99" s="50"/>
      <c r="I99" s="50"/>
      <c r="J99" s="50"/>
      <c r="K99" s="588"/>
      <c r="L99" s="588"/>
      <c r="M99" s="588"/>
      <c r="Z99" s="332"/>
      <c r="AA99" s="333"/>
    </row>
    <row r="100" spans="1:27" ht="15" customHeight="1" x14ac:dyDescent="0.3">
      <c r="A100" s="50">
        <v>97</v>
      </c>
      <c r="B100" s="194">
        <v>3.0000000000000001E-3</v>
      </c>
      <c r="C100" s="194">
        <v>0.46100000000000002</v>
      </c>
      <c r="D100" s="703"/>
      <c r="E100" s="50"/>
      <c r="F100" s="553"/>
      <c r="G100" s="553"/>
      <c r="H100" s="50"/>
      <c r="I100" s="50"/>
      <c r="J100" s="50"/>
      <c r="K100" s="588"/>
      <c r="L100" s="588"/>
      <c r="M100" s="588"/>
      <c r="R100" s="95"/>
      <c r="Z100" s="332"/>
      <c r="AA100" s="333"/>
    </row>
    <row r="101" spans="1:27" ht="15" customHeight="1" x14ac:dyDescent="0.3">
      <c r="A101" s="50">
        <v>98</v>
      </c>
      <c r="B101" s="194">
        <v>2E-3</v>
      </c>
      <c r="C101" s="194">
        <v>0.46400000000000002</v>
      </c>
      <c r="D101" s="703"/>
      <c r="E101" s="50"/>
      <c r="F101" s="553"/>
      <c r="G101" s="553"/>
      <c r="H101" s="50"/>
      <c r="I101" s="50"/>
      <c r="J101" s="50"/>
      <c r="K101" s="588"/>
      <c r="L101" s="588"/>
      <c r="M101" s="588"/>
      <c r="R101" s="95"/>
      <c r="Z101" s="332"/>
      <c r="AA101" s="333"/>
    </row>
    <row r="102" spans="1:27" ht="15" customHeight="1" x14ac:dyDescent="0.3">
      <c r="A102" s="50">
        <v>99</v>
      </c>
      <c r="B102" s="194">
        <v>1E-3</v>
      </c>
      <c r="C102" s="194">
        <v>0.46700000000000003</v>
      </c>
      <c r="D102" s="703"/>
      <c r="E102" s="50"/>
      <c r="F102" s="553"/>
      <c r="G102" s="553"/>
      <c r="H102" s="50"/>
      <c r="I102" s="50"/>
      <c r="J102" s="50"/>
      <c r="K102" s="588"/>
      <c r="L102" s="588"/>
      <c r="M102" s="588"/>
      <c r="R102" s="95"/>
      <c r="Z102" s="332"/>
      <c r="AA102" s="333"/>
    </row>
    <row r="103" spans="1:27" ht="15" customHeight="1" x14ac:dyDescent="0.3">
      <c r="A103" s="50">
        <v>100</v>
      </c>
      <c r="B103" s="194">
        <v>0</v>
      </c>
      <c r="C103" s="194">
        <v>0.47</v>
      </c>
      <c r="D103" s="703"/>
      <c r="E103" s="50"/>
      <c r="F103" s="553"/>
      <c r="G103" s="553"/>
      <c r="H103" s="50"/>
      <c r="I103" s="50"/>
      <c r="J103" s="50"/>
      <c r="K103" s="688"/>
      <c r="L103" s="588"/>
      <c r="M103" s="588"/>
      <c r="Z103" s="332"/>
      <c r="AA103" s="333"/>
    </row>
    <row r="104" spans="1:27" ht="15" customHeight="1" x14ac:dyDescent="0.3">
      <c r="B104" s="96"/>
      <c r="C104" s="96"/>
      <c r="D104" s="332"/>
      <c r="F104" s="96"/>
      <c r="G104" s="96"/>
      <c r="H104" s="332"/>
    </row>
    <row r="105" spans="1:27" ht="15" customHeight="1" x14ac:dyDescent="0.3">
      <c r="B105" s="96"/>
      <c r="C105" s="96"/>
      <c r="D105" s="332"/>
      <c r="F105" s="96"/>
      <c r="G105" s="96"/>
      <c r="H105" s="332"/>
      <c r="R105" s="95"/>
    </row>
    <row r="106" spans="1:27" ht="15" customHeight="1" x14ac:dyDescent="0.3">
      <c r="B106" s="96"/>
      <c r="C106" s="96"/>
      <c r="D106" s="332"/>
      <c r="F106" s="96"/>
      <c r="G106" s="96"/>
      <c r="H106" s="332"/>
      <c r="R106" s="95"/>
    </row>
    <row r="107" spans="1:27" ht="15" customHeight="1" x14ac:dyDescent="0.3">
      <c r="B107" s="96"/>
      <c r="C107" s="96"/>
      <c r="D107" s="332"/>
      <c r="F107" s="96"/>
      <c r="G107" s="96"/>
      <c r="H107" s="332"/>
      <c r="R107" s="95"/>
    </row>
    <row r="108" spans="1:27" ht="15" customHeight="1" x14ac:dyDescent="0.3">
      <c r="B108" s="96"/>
      <c r="C108" s="96"/>
      <c r="D108" s="332"/>
      <c r="F108" s="96"/>
      <c r="G108" s="96"/>
      <c r="H108" s="332"/>
    </row>
    <row r="109" spans="1:27" ht="15" customHeight="1" x14ac:dyDescent="0.3">
      <c r="B109" s="96"/>
      <c r="C109" s="96"/>
      <c r="D109" s="332"/>
      <c r="F109" s="96"/>
      <c r="G109" s="96"/>
      <c r="H109" s="332"/>
    </row>
    <row r="110" spans="1:27" ht="15" customHeight="1" x14ac:dyDescent="0.3">
      <c r="B110" s="96"/>
      <c r="C110" s="96"/>
      <c r="D110" s="332"/>
      <c r="F110" s="96"/>
      <c r="G110" s="96"/>
      <c r="H110" s="332"/>
      <c r="R110" s="95"/>
    </row>
    <row r="111" spans="1:27" ht="15" customHeight="1" x14ac:dyDescent="0.3">
      <c r="B111" s="96"/>
      <c r="C111" s="96"/>
      <c r="D111" s="332"/>
      <c r="F111" s="96"/>
      <c r="G111" s="96"/>
      <c r="H111" s="332"/>
      <c r="R111" s="95"/>
    </row>
    <row r="112" spans="1:27" ht="15" customHeight="1" x14ac:dyDescent="0.3">
      <c r="B112" s="96"/>
      <c r="C112" s="96"/>
      <c r="D112" s="332"/>
      <c r="F112" s="96"/>
      <c r="G112" s="96"/>
      <c r="H112" s="332"/>
      <c r="R112" s="95"/>
    </row>
    <row r="113" spans="2:18" ht="15" customHeight="1" x14ac:dyDescent="0.3">
      <c r="B113" s="96"/>
      <c r="C113" s="94"/>
      <c r="D113" s="332"/>
      <c r="F113" s="96"/>
      <c r="G113" s="96"/>
      <c r="H113" s="332"/>
    </row>
    <row r="114" spans="2:18" ht="15" customHeight="1" x14ac:dyDescent="0.3">
      <c r="B114" s="96"/>
      <c r="C114" s="94"/>
      <c r="F114" s="96"/>
      <c r="G114" s="96"/>
    </row>
    <row r="115" spans="2:18" ht="15" customHeight="1" x14ac:dyDescent="0.3">
      <c r="B115" s="96"/>
      <c r="C115" s="94"/>
      <c r="F115" s="96"/>
      <c r="G115" s="96"/>
      <c r="R115" s="95"/>
    </row>
    <row r="116" spans="2:18" ht="15" customHeight="1" x14ac:dyDescent="0.3">
      <c r="B116" s="96"/>
      <c r="C116" s="94"/>
      <c r="F116" s="96"/>
      <c r="G116" s="96"/>
      <c r="R116" s="95"/>
    </row>
    <row r="117" spans="2:18" ht="15" customHeight="1" x14ac:dyDescent="0.3">
      <c r="B117" s="96"/>
      <c r="C117" s="94"/>
      <c r="F117" s="96"/>
      <c r="G117" s="96"/>
      <c r="R117" s="95"/>
    </row>
    <row r="118" spans="2:18" ht="15" customHeight="1" x14ac:dyDescent="0.3">
      <c r="B118" s="96"/>
      <c r="C118" s="94"/>
      <c r="F118" s="96"/>
      <c r="G118" s="96"/>
    </row>
    <row r="119" spans="2:18" ht="15" customHeight="1" x14ac:dyDescent="0.3">
      <c r="B119" s="96"/>
      <c r="C119" s="94"/>
      <c r="F119" s="96"/>
      <c r="G119" s="96"/>
    </row>
    <row r="120" spans="2:18" ht="15" customHeight="1" x14ac:dyDescent="0.3">
      <c r="B120" s="96"/>
      <c r="C120" s="94"/>
      <c r="F120" s="96"/>
      <c r="G120" s="96"/>
      <c r="R120" s="95"/>
    </row>
    <row r="121" spans="2:18" ht="15" customHeight="1" x14ac:dyDescent="0.3">
      <c r="B121" s="96"/>
      <c r="C121" s="94"/>
      <c r="F121" s="96"/>
      <c r="G121" s="96"/>
      <c r="R121" s="95"/>
    </row>
    <row r="122" spans="2:18" ht="15" customHeight="1" x14ac:dyDescent="0.3">
      <c r="B122" s="96"/>
      <c r="C122" s="94"/>
      <c r="F122" s="96"/>
      <c r="G122" s="96"/>
      <c r="R122" s="95"/>
    </row>
    <row r="123" spans="2:18" ht="15" customHeight="1" x14ac:dyDescent="0.3">
      <c r="B123" s="96"/>
      <c r="C123" s="94"/>
      <c r="F123" s="96"/>
      <c r="G123" s="96"/>
    </row>
    <row r="124" spans="2:18" ht="15" customHeight="1" x14ac:dyDescent="0.3">
      <c r="B124" s="96"/>
      <c r="C124" s="94"/>
      <c r="D124" s="332"/>
      <c r="F124" s="96"/>
      <c r="G124" s="96"/>
    </row>
    <row r="125" spans="2:18" ht="15" customHeight="1" x14ac:dyDescent="0.3">
      <c r="B125" s="96"/>
      <c r="C125" s="94"/>
      <c r="D125" s="332"/>
      <c r="F125" s="96"/>
      <c r="G125" s="96"/>
      <c r="R125" s="95"/>
    </row>
    <row r="126" spans="2:18" ht="15" customHeight="1" x14ac:dyDescent="0.3">
      <c r="B126" s="96"/>
      <c r="C126" s="94"/>
      <c r="D126" s="332"/>
      <c r="F126" s="96"/>
      <c r="G126" s="96"/>
      <c r="R126" s="95"/>
    </row>
    <row r="127" spans="2:18" ht="15" customHeight="1" x14ac:dyDescent="0.3">
      <c r="B127" s="96"/>
      <c r="C127" s="94"/>
      <c r="D127" s="332"/>
      <c r="F127" s="96"/>
      <c r="G127" s="96"/>
      <c r="R127" s="95"/>
    </row>
    <row r="128" spans="2:18" ht="15" customHeight="1" x14ac:dyDescent="0.3">
      <c r="B128" s="96"/>
      <c r="C128" s="94"/>
      <c r="D128" s="332"/>
      <c r="F128" s="96"/>
      <c r="G128" s="96"/>
    </row>
    <row r="129" spans="2:18" ht="15" customHeight="1" x14ac:dyDescent="0.3">
      <c r="B129" s="96"/>
      <c r="C129" s="94"/>
      <c r="D129" s="332"/>
      <c r="F129" s="96"/>
      <c r="G129" s="96"/>
    </row>
    <row r="130" spans="2:18" ht="15" customHeight="1" x14ac:dyDescent="0.3">
      <c r="B130" s="96"/>
      <c r="C130" s="94"/>
      <c r="D130" s="332"/>
      <c r="F130" s="96"/>
      <c r="G130" s="96"/>
      <c r="R130" s="95"/>
    </row>
    <row r="131" spans="2:18" ht="15" customHeight="1" x14ac:dyDescent="0.3">
      <c r="B131" s="96"/>
      <c r="C131" s="94"/>
      <c r="D131" s="332"/>
      <c r="F131" s="96"/>
      <c r="G131" s="96"/>
      <c r="R131" s="95"/>
    </row>
    <row r="132" spans="2:18" ht="15" customHeight="1" x14ac:dyDescent="0.3">
      <c r="B132" s="96"/>
      <c r="C132" s="94"/>
      <c r="D132" s="332"/>
      <c r="F132" s="96"/>
      <c r="G132" s="96"/>
      <c r="R132" s="95"/>
    </row>
    <row r="133" spans="2:18" ht="15" customHeight="1" x14ac:dyDescent="0.3">
      <c r="B133" s="96"/>
      <c r="C133" s="94"/>
      <c r="D133" s="332"/>
      <c r="F133" s="96"/>
      <c r="G133" s="96"/>
    </row>
    <row r="134" spans="2:18" ht="15" customHeight="1" x14ac:dyDescent="0.3">
      <c r="B134" s="96"/>
      <c r="C134" s="94"/>
      <c r="F134" s="96"/>
      <c r="G134" s="96"/>
    </row>
    <row r="135" spans="2:18" ht="15" customHeight="1" x14ac:dyDescent="0.3">
      <c r="B135" s="96"/>
      <c r="C135" s="94"/>
      <c r="F135" s="96"/>
      <c r="G135" s="96"/>
      <c r="R135" s="95"/>
    </row>
    <row r="136" spans="2:18" ht="15" customHeight="1" x14ac:dyDescent="0.3">
      <c r="B136" s="96"/>
      <c r="C136" s="94"/>
      <c r="F136" s="96"/>
      <c r="G136" s="96"/>
      <c r="R136" s="95"/>
    </row>
    <row r="137" spans="2:18" ht="15" customHeight="1" x14ac:dyDescent="0.3">
      <c r="B137" s="96"/>
      <c r="C137" s="94"/>
      <c r="F137" s="96"/>
      <c r="G137" s="96"/>
      <c r="R137" s="95"/>
    </row>
    <row r="138" spans="2:18" ht="15" customHeight="1" x14ac:dyDescent="0.3">
      <c r="B138" s="96"/>
      <c r="C138" s="94"/>
      <c r="F138" s="96"/>
      <c r="G138" s="96"/>
    </row>
    <row r="139" spans="2:18" ht="15" customHeight="1" x14ac:dyDescent="0.3">
      <c r="B139" s="96"/>
      <c r="C139" s="94"/>
      <c r="F139" s="96"/>
      <c r="G139" s="96"/>
    </row>
    <row r="140" spans="2:18" ht="15" customHeight="1" x14ac:dyDescent="0.3">
      <c r="B140" s="96"/>
      <c r="C140" s="94"/>
      <c r="F140" s="96"/>
      <c r="G140" s="96"/>
      <c r="R140" s="95"/>
    </row>
    <row r="141" spans="2:18" ht="15" customHeight="1" x14ac:dyDescent="0.3">
      <c r="B141" s="96"/>
      <c r="C141" s="94"/>
      <c r="F141" s="96"/>
      <c r="G141" s="96"/>
      <c r="R141" s="95"/>
    </row>
    <row r="142" spans="2:18" ht="15" customHeight="1" x14ac:dyDescent="0.3">
      <c r="B142" s="96"/>
      <c r="C142" s="94"/>
      <c r="F142" s="96"/>
      <c r="G142" s="96"/>
      <c r="R142" s="95"/>
    </row>
    <row r="143" spans="2:18" ht="15" customHeight="1" x14ac:dyDescent="0.3">
      <c r="B143" s="96"/>
      <c r="C143" s="94"/>
      <c r="F143" s="96"/>
      <c r="G143" s="96"/>
      <c r="R143" s="95"/>
    </row>
    <row r="144" spans="2:18" ht="15" customHeight="1" x14ac:dyDescent="0.3">
      <c r="B144" s="96"/>
      <c r="C144" s="94"/>
      <c r="D144" s="332"/>
      <c r="F144" s="96"/>
      <c r="G144" s="96"/>
      <c r="H144" s="332"/>
      <c r="R144" s="95"/>
    </row>
    <row r="145" spans="2:23" ht="15" customHeight="1" x14ac:dyDescent="0.3">
      <c r="B145" s="96"/>
      <c r="C145" s="94"/>
      <c r="D145" s="332"/>
      <c r="F145" s="96"/>
      <c r="G145" s="96"/>
      <c r="H145" s="332"/>
    </row>
    <row r="146" spans="2:23" ht="15" customHeight="1" x14ac:dyDescent="0.3">
      <c r="B146" s="96"/>
      <c r="C146" s="94"/>
      <c r="D146" s="332"/>
      <c r="F146" s="96"/>
      <c r="G146" s="96"/>
      <c r="H146" s="332"/>
      <c r="R146" s="62"/>
    </row>
    <row r="147" spans="2:23" ht="15" customHeight="1" x14ac:dyDescent="0.3">
      <c r="B147" s="96"/>
      <c r="C147" s="94"/>
      <c r="D147" s="332"/>
      <c r="F147" s="96"/>
      <c r="G147" s="96"/>
      <c r="H147" s="332"/>
      <c r="R147" s="95"/>
    </row>
    <row r="148" spans="2:23" ht="15" customHeight="1" x14ac:dyDescent="0.3">
      <c r="B148" s="96"/>
      <c r="C148" s="94"/>
      <c r="D148" s="332"/>
      <c r="F148" s="96"/>
      <c r="G148" s="96"/>
      <c r="H148" s="332"/>
    </row>
    <row r="149" spans="2:23" ht="15" customHeight="1" x14ac:dyDescent="0.3">
      <c r="B149" s="96"/>
      <c r="C149" s="94"/>
      <c r="D149" s="332"/>
      <c r="F149" s="96"/>
      <c r="G149" s="96"/>
      <c r="H149" s="332"/>
      <c r="R149" s="62"/>
      <c r="U149" s="62"/>
      <c r="V149" s="62"/>
      <c r="W149" s="62"/>
    </row>
    <row r="150" spans="2:23" ht="15" customHeight="1" x14ac:dyDescent="0.3">
      <c r="B150" s="96"/>
      <c r="C150" s="94"/>
      <c r="D150" s="332"/>
      <c r="F150" s="96"/>
      <c r="G150" s="96"/>
      <c r="H150" s="332"/>
      <c r="O150" s="99"/>
      <c r="R150" s="95"/>
      <c r="U150" s="62"/>
      <c r="V150" s="62"/>
      <c r="W150" s="95"/>
    </row>
    <row r="151" spans="2:23" ht="15" customHeight="1" x14ac:dyDescent="0.3">
      <c r="B151" s="96"/>
      <c r="C151" s="94"/>
      <c r="D151" s="332"/>
      <c r="F151" s="96"/>
      <c r="G151" s="96"/>
      <c r="H151" s="332"/>
      <c r="O151" s="99"/>
      <c r="R151" s="95"/>
      <c r="U151" s="62"/>
      <c r="V151" s="62"/>
      <c r="W151" s="95"/>
    </row>
    <row r="152" spans="2:23" ht="15" customHeight="1" x14ac:dyDescent="0.3">
      <c r="B152" s="96"/>
      <c r="C152" s="94"/>
      <c r="D152" s="332"/>
      <c r="F152" s="96"/>
      <c r="G152" s="96"/>
      <c r="H152" s="332"/>
    </row>
    <row r="153" spans="2:23" ht="15" customHeight="1" x14ac:dyDescent="0.3">
      <c r="B153" s="96"/>
      <c r="C153" s="94"/>
      <c r="D153" s="332"/>
      <c r="F153" s="96"/>
      <c r="G153" s="96"/>
      <c r="H153" s="332"/>
    </row>
    <row r="154" spans="2:23" x14ac:dyDescent="0.3">
      <c r="B154" s="96"/>
      <c r="C154" s="96"/>
      <c r="D154" s="332"/>
      <c r="F154" s="96"/>
      <c r="G154" s="96"/>
    </row>
    <row r="155" spans="2:23" x14ac:dyDescent="0.3">
      <c r="B155" s="96"/>
      <c r="C155" s="96"/>
      <c r="D155" s="332"/>
      <c r="F155" s="96"/>
      <c r="G155" s="96"/>
    </row>
    <row r="156" spans="2:23" x14ac:dyDescent="0.3">
      <c r="B156" s="96"/>
      <c r="C156" s="96"/>
      <c r="D156" s="332"/>
      <c r="F156" s="96"/>
      <c r="G156" s="96"/>
    </row>
    <row r="157" spans="2:23" x14ac:dyDescent="0.3">
      <c r="B157" s="96"/>
      <c r="C157" s="96"/>
      <c r="D157" s="332"/>
      <c r="F157" s="96"/>
      <c r="G157" s="96"/>
    </row>
    <row r="158" spans="2:23" x14ac:dyDescent="0.3">
      <c r="B158" s="96"/>
      <c r="C158" s="96"/>
      <c r="D158" s="332"/>
      <c r="F158" s="96"/>
      <c r="G158" s="96"/>
    </row>
    <row r="159" spans="2:23" x14ac:dyDescent="0.3">
      <c r="B159" s="96"/>
      <c r="C159" s="96"/>
      <c r="D159" s="332"/>
      <c r="F159" s="96"/>
      <c r="G159" s="96"/>
    </row>
    <row r="160" spans="2:23" x14ac:dyDescent="0.3">
      <c r="B160" s="96"/>
      <c r="C160" s="96"/>
      <c r="D160" s="332"/>
      <c r="F160" s="96"/>
      <c r="G160" s="96"/>
    </row>
    <row r="161" spans="2:7" x14ac:dyDescent="0.3">
      <c r="B161" s="96"/>
      <c r="C161" s="96"/>
      <c r="D161" s="332"/>
      <c r="F161" s="96"/>
      <c r="G161" s="96"/>
    </row>
    <row r="162" spans="2:7" x14ac:dyDescent="0.3">
      <c r="B162" s="96"/>
      <c r="C162" s="96"/>
      <c r="D162" s="332"/>
      <c r="F162" s="96"/>
      <c r="G162" s="96"/>
    </row>
    <row r="163" spans="2:7" x14ac:dyDescent="0.3">
      <c r="B163" s="96"/>
      <c r="C163" s="96"/>
      <c r="D163" s="332"/>
      <c r="F163" s="96"/>
      <c r="G163" s="96"/>
    </row>
    <row r="164" spans="2:7" x14ac:dyDescent="0.3">
      <c r="B164" s="96"/>
      <c r="C164" s="96"/>
      <c r="F164" s="96"/>
      <c r="G164" s="96"/>
    </row>
    <row r="165" spans="2:7" x14ac:dyDescent="0.3">
      <c r="B165" s="96"/>
      <c r="C165" s="96"/>
      <c r="F165" s="96"/>
      <c r="G165" s="96"/>
    </row>
    <row r="166" spans="2:7" x14ac:dyDescent="0.3">
      <c r="B166" s="96"/>
      <c r="C166" s="96"/>
      <c r="F166" s="96"/>
      <c r="G166" s="96"/>
    </row>
    <row r="167" spans="2:7" x14ac:dyDescent="0.3">
      <c r="B167" s="96"/>
      <c r="C167" s="96"/>
      <c r="F167" s="96"/>
      <c r="G167" s="96"/>
    </row>
    <row r="168" spans="2:7" x14ac:dyDescent="0.3">
      <c r="B168" s="96"/>
      <c r="C168" s="96"/>
      <c r="F168" s="96"/>
      <c r="G168" s="96"/>
    </row>
    <row r="169" spans="2:7" x14ac:dyDescent="0.3">
      <c r="B169" s="96"/>
      <c r="C169" s="96"/>
      <c r="F169" s="96"/>
      <c r="G169" s="96"/>
    </row>
    <row r="170" spans="2:7" x14ac:dyDescent="0.3">
      <c r="B170" s="96"/>
      <c r="C170" s="96"/>
      <c r="F170" s="96"/>
      <c r="G170" s="96"/>
    </row>
    <row r="171" spans="2:7" x14ac:dyDescent="0.3">
      <c r="B171" s="96"/>
      <c r="C171" s="96"/>
      <c r="F171" s="96"/>
      <c r="G171" s="96"/>
    </row>
    <row r="172" spans="2:7" x14ac:dyDescent="0.3">
      <c r="B172" s="96"/>
      <c r="C172" s="96"/>
      <c r="F172" s="96"/>
      <c r="G172" s="96"/>
    </row>
    <row r="173" spans="2:7" x14ac:dyDescent="0.3">
      <c r="B173" s="96"/>
      <c r="C173" s="96"/>
      <c r="F173" s="96"/>
      <c r="G173" s="96"/>
    </row>
    <row r="174" spans="2:7" x14ac:dyDescent="0.3">
      <c r="B174" s="96"/>
      <c r="C174" s="96"/>
      <c r="D174" s="332"/>
      <c r="F174" s="96"/>
      <c r="G174" s="96"/>
    </row>
    <row r="175" spans="2:7" x14ac:dyDescent="0.3">
      <c r="B175" s="96"/>
      <c r="C175" s="96"/>
      <c r="D175" s="332"/>
      <c r="F175" s="96"/>
      <c r="G175" s="96"/>
    </row>
    <row r="176" spans="2:7" x14ac:dyDescent="0.3">
      <c r="B176" s="96"/>
      <c r="C176" s="96"/>
      <c r="D176" s="332"/>
      <c r="F176" s="96"/>
      <c r="G176" s="96"/>
    </row>
    <row r="177" spans="2:8" x14ac:dyDescent="0.3">
      <c r="B177" s="96"/>
      <c r="C177" s="96"/>
      <c r="D177" s="332"/>
      <c r="F177" s="96"/>
      <c r="G177" s="96"/>
    </row>
    <row r="178" spans="2:8" x14ac:dyDescent="0.3">
      <c r="B178" s="96"/>
      <c r="C178" s="96"/>
      <c r="D178" s="332"/>
      <c r="F178" s="96"/>
      <c r="G178" s="96"/>
    </row>
    <row r="179" spans="2:8" x14ac:dyDescent="0.3">
      <c r="B179" s="96"/>
      <c r="C179" s="96"/>
      <c r="D179" s="332"/>
      <c r="F179" s="96"/>
      <c r="G179" s="96"/>
    </row>
    <row r="180" spans="2:8" x14ac:dyDescent="0.3">
      <c r="B180" s="96"/>
      <c r="C180" s="96"/>
      <c r="D180" s="332"/>
      <c r="F180" s="96"/>
      <c r="G180" s="96"/>
    </row>
    <row r="181" spans="2:8" x14ac:dyDescent="0.3">
      <c r="B181" s="96"/>
      <c r="C181" s="96"/>
      <c r="D181" s="332"/>
      <c r="F181" s="96"/>
      <c r="G181" s="96"/>
    </row>
    <row r="182" spans="2:8" x14ac:dyDescent="0.3">
      <c r="B182" s="96"/>
      <c r="C182" s="96"/>
      <c r="D182" s="332"/>
      <c r="F182" s="96"/>
      <c r="G182" s="96"/>
    </row>
    <row r="183" spans="2:8" x14ac:dyDescent="0.3">
      <c r="B183" s="96"/>
      <c r="C183" s="96"/>
      <c r="D183" s="332"/>
      <c r="F183" s="96"/>
      <c r="G183" s="96"/>
      <c r="H183" s="332"/>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1619</v>
      </c>
    </row>
    <row r="491" spans="1:1" x14ac:dyDescent="0.3">
      <c r="A491" s="14" t="s">
        <v>1620</v>
      </c>
    </row>
    <row r="492" spans="1:1" x14ac:dyDescent="0.3">
      <c r="A492" s="14" t="s">
        <v>839</v>
      </c>
    </row>
    <row r="493" spans="1:1" x14ac:dyDescent="0.3">
      <c r="A493" s="14" t="s">
        <v>840</v>
      </c>
    </row>
    <row r="494" spans="1:1" x14ac:dyDescent="0.3">
      <c r="A494" s="14" t="s">
        <v>841</v>
      </c>
    </row>
    <row r="495" spans="1:1" x14ac:dyDescent="0.3">
      <c r="A495" s="14" t="s">
        <v>842</v>
      </c>
    </row>
    <row r="496" spans="1:1" x14ac:dyDescent="0.3">
      <c r="A496" s="14" t="s">
        <v>843</v>
      </c>
    </row>
    <row r="497" spans="1:1" x14ac:dyDescent="0.3">
      <c r="A497" s="14" t="s">
        <v>48</v>
      </c>
    </row>
    <row r="498" spans="1:1" x14ac:dyDescent="0.3">
      <c r="A498" s="14" t="s">
        <v>1589</v>
      </c>
    </row>
    <row r="499" spans="1:1" x14ac:dyDescent="0.3">
      <c r="A499" s="14" t="s">
        <v>1590</v>
      </c>
    </row>
    <row r="500" spans="1:1" x14ac:dyDescent="0.3">
      <c r="A500" s="14" t="s">
        <v>344</v>
      </c>
    </row>
    <row r="501" spans="1:1" x14ac:dyDescent="0.3">
      <c r="A501" s="14" t="s">
        <v>1098</v>
      </c>
    </row>
    <row r="502" spans="1:1" x14ac:dyDescent="0.3">
      <c r="A502" s="14" t="s">
        <v>1099</v>
      </c>
    </row>
    <row r="503" spans="1:1" x14ac:dyDescent="0.3">
      <c r="A503" s="14" t="s">
        <v>1100</v>
      </c>
    </row>
    <row r="504" spans="1:1" x14ac:dyDescent="0.3">
      <c r="A504" s="14" t="s">
        <v>1101</v>
      </c>
    </row>
    <row r="505" spans="1:1" x14ac:dyDescent="0.3">
      <c r="A505" s="14" t="s">
        <v>1102</v>
      </c>
    </row>
    <row r="506" spans="1:1" x14ac:dyDescent="0.3">
      <c r="A506" s="14" t="s">
        <v>1103</v>
      </c>
    </row>
    <row r="507" spans="1:1" x14ac:dyDescent="0.3">
      <c r="A507" s="14" t="s">
        <v>369</v>
      </c>
    </row>
    <row r="508" spans="1:1" x14ac:dyDescent="0.3">
      <c r="A508" s="14" t="s">
        <v>370</v>
      </c>
    </row>
    <row r="509" spans="1:1" x14ac:dyDescent="0.3">
      <c r="A509" s="14" t="s">
        <v>371</v>
      </c>
    </row>
    <row r="510" spans="1:1" x14ac:dyDescent="0.3">
      <c r="A510" s="14" t="s">
        <v>372</v>
      </c>
    </row>
    <row r="511" spans="1:1" x14ac:dyDescent="0.3">
      <c r="A511" s="14" t="s">
        <v>373</v>
      </c>
    </row>
    <row r="512" spans="1:1" x14ac:dyDescent="0.3">
      <c r="A512" s="14" t="s">
        <v>374</v>
      </c>
    </row>
    <row r="513" spans="1:1" x14ac:dyDescent="0.3">
      <c r="A513" s="14" t="s">
        <v>375</v>
      </c>
    </row>
    <row r="514" spans="1:1" x14ac:dyDescent="0.3">
      <c r="A514" s="14" t="s">
        <v>376</v>
      </c>
    </row>
    <row r="515" spans="1:1" x14ac:dyDescent="0.3">
      <c r="A515" s="14" t="s">
        <v>1031</v>
      </c>
    </row>
    <row r="516" spans="1:1" x14ac:dyDescent="0.3">
      <c r="A516" s="14" t="s">
        <v>1032</v>
      </c>
    </row>
    <row r="517" spans="1:1" x14ac:dyDescent="0.3">
      <c r="A517" s="14" t="s">
        <v>1033</v>
      </c>
    </row>
    <row r="518" spans="1:1" x14ac:dyDescent="0.3">
      <c r="A518" s="14" t="s">
        <v>1034</v>
      </c>
    </row>
    <row r="519" spans="1:1" x14ac:dyDescent="0.3">
      <c r="A519" s="14" t="s">
        <v>1035</v>
      </c>
    </row>
    <row r="520" spans="1:1" x14ac:dyDescent="0.3">
      <c r="A520" s="14" t="s">
        <v>1036</v>
      </c>
    </row>
    <row r="521" spans="1:1" x14ac:dyDescent="0.3">
      <c r="A521" s="14" t="s">
        <v>1037</v>
      </c>
    </row>
    <row r="522" spans="1:1" x14ac:dyDescent="0.3">
      <c r="A522" s="14" t="s">
        <v>856</v>
      </c>
    </row>
    <row r="523" spans="1:1" x14ac:dyDescent="0.3">
      <c r="A523" s="14" t="s">
        <v>857</v>
      </c>
    </row>
    <row r="524" spans="1:1" x14ac:dyDescent="0.3">
      <c r="A524" s="14" t="s">
        <v>858</v>
      </c>
    </row>
    <row r="525" spans="1:1" x14ac:dyDescent="0.3">
      <c r="A525" s="14" t="s">
        <v>385</v>
      </c>
    </row>
    <row r="526" spans="1:1" x14ac:dyDescent="0.3">
      <c r="A526" s="14" t="s">
        <v>386</v>
      </c>
    </row>
    <row r="527" spans="1:1" x14ac:dyDescent="0.3">
      <c r="A527" s="14" t="s">
        <v>387</v>
      </c>
    </row>
    <row r="528" spans="1:1" x14ac:dyDescent="0.3">
      <c r="A528" s="14" t="s">
        <v>388</v>
      </c>
    </row>
    <row r="529" spans="1:1" x14ac:dyDescent="0.3">
      <c r="A529" s="14" t="s">
        <v>604</v>
      </c>
    </row>
    <row r="530" spans="1:1" x14ac:dyDescent="0.3">
      <c r="A530" s="14" t="s">
        <v>1918</v>
      </c>
    </row>
    <row r="531" spans="1:1" x14ac:dyDescent="0.3">
      <c r="A531" s="14" t="s">
        <v>1919</v>
      </c>
    </row>
    <row r="532" spans="1:1" x14ac:dyDescent="0.3">
      <c r="A532" s="14" t="s">
        <v>1920</v>
      </c>
    </row>
    <row r="533" spans="1:1" x14ac:dyDescent="0.3">
      <c r="A533" s="14" t="s">
        <v>582</v>
      </c>
    </row>
    <row r="534" spans="1:1" x14ac:dyDescent="0.3">
      <c r="A534" s="14" t="s">
        <v>1676</v>
      </c>
    </row>
    <row r="535" spans="1:1" x14ac:dyDescent="0.3">
      <c r="A535" s="14" t="s">
        <v>499</v>
      </c>
    </row>
    <row r="536" spans="1:1" x14ac:dyDescent="0.3">
      <c r="A536" s="14" t="s">
        <v>500</v>
      </c>
    </row>
    <row r="537" spans="1:1" x14ac:dyDescent="0.3">
      <c r="A537" s="14" t="s">
        <v>501</v>
      </c>
    </row>
    <row r="538" spans="1:1" x14ac:dyDescent="0.3">
      <c r="A538" s="14" t="s">
        <v>502</v>
      </c>
    </row>
    <row r="539" spans="1:1" x14ac:dyDescent="0.3">
      <c r="A539" s="14" t="s">
        <v>503</v>
      </c>
    </row>
    <row r="540" spans="1:1" x14ac:dyDescent="0.3">
      <c r="A540" s="14" t="s">
        <v>504</v>
      </c>
    </row>
    <row r="541" spans="1:1" x14ac:dyDescent="0.3">
      <c r="A541" s="14" t="s">
        <v>538</v>
      </c>
    </row>
    <row r="542" spans="1:1" x14ac:dyDescent="0.3">
      <c r="A542" s="14" t="s">
        <v>1704</v>
      </c>
    </row>
    <row r="543" spans="1:1" x14ac:dyDescent="0.3">
      <c r="A543" s="14" t="s">
        <v>933</v>
      </c>
    </row>
    <row r="544" spans="1:1" x14ac:dyDescent="0.3">
      <c r="A544" s="14" t="s">
        <v>934</v>
      </c>
    </row>
    <row r="545" spans="1:1" x14ac:dyDescent="0.3">
      <c r="A545" s="14" t="s">
        <v>935</v>
      </c>
    </row>
    <row r="546" spans="1:1" x14ac:dyDescent="0.3">
      <c r="A546" s="14" t="s">
        <v>936</v>
      </c>
    </row>
    <row r="547" spans="1:1" x14ac:dyDescent="0.3">
      <c r="A547" s="14" t="s">
        <v>937</v>
      </c>
    </row>
    <row r="548" spans="1:1" x14ac:dyDescent="0.3">
      <c r="A548" s="14" t="s">
        <v>938</v>
      </c>
    </row>
    <row r="549" spans="1:1" x14ac:dyDescent="0.3">
      <c r="A549" s="14" t="s">
        <v>939</v>
      </c>
    </row>
    <row r="550" spans="1:1" x14ac:dyDescent="0.3">
      <c r="A550" s="14" t="s">
        <v>940</v>
      </c>
    </row>
    <row r="551" spans="1:1" x14ac:dyDescent="0.3">
      <c r="A551" s="14" t="s">
        <v>94</v>
      </c>
    </row>
    <row r="552" spans="1:1" x14ac:dyDescent="0.3">
      <c r="A552" s="14" t="s">
        <v>95</v>
      </c>
    </row>
    <row r="553" spans="1:1" x14ac:dyDescent="0.3">
      <c r="A553" s="14" t="s">
        <v>96</v>
      </c>
    </row>
    <row r="554" spans="1:1" x14ac:dyDescent="0.3">
      <c r="A554" s="14" t="s">
        <v>97</v>
      </c>
    </row>
    <row r="555" spans="1:1" x14ac:dyDescent="0.3">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 x14ac:dyDescent="0.3"/>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3">
      <c r="A1" s="270" t="s">
        <v>2303</v>
      </c>
      <c r="B1" s="259" t="s">
        <v>849</v>
      </c>
      <c r="C1" s="259" t="s">
        <v>849</v>
      </c>
      <c r="D1" s="259" t="s">
        <v>849</v>
      </c>
      <c r="E1" s="259" t="s">
        <v>849</v>
      </c>
      <c r="F1" s="259" t="s">
        <v>850</v>
      </c>
      <c r="G1" s="259" t="s">
        <v>850</v>
      </c>
      <c r="H1" s="259" t="s">
        <v>851</v>
      </c>
      <c r="I1" s="259" t="s">
        <v>851</v>
      </c>
      <c r="J1" s="259" t="s">
        <v>851</v>
      </c>
    </row>
    <row r="2" spans="1:88" ht="100.5" customHeight="1" x14ac:dyDescent="0.3">
      <c r="A2" s="694" t="s">
        <v>1963</v>
      </c>
      <c r="B2" s="694" t="s">
        <v>852</v>
      </c>
      <c r="C2" s="694" t="s">
        <v>853</v>
      </c>
      <c r="D2" s="694" t="s">
        <v>854</v>
      </c>
      <c r="E2" s="694" t="s">
        <v>855</v>
      </c>
      <c r="F2" s="694" t="s">
        <v>852</v>
      </c>
      <c r="G2" s="694" t="s">
        <v>855</v>
      </c>
      <c r="H2" s="694" t="s">
        <v>852</v>
      </c>
      <c r="I2" s="694" t="s">
        <v>853</v>
      </c>
      <c r="J2" s="694" t="s">
        <v>854</v>
      </c>
      <c r="K2" s="93"/>
      <c r="L2" s="696" t="s">
        <v>2323</v>
      </c>
      <c r="M2" s="696" t="s">
        <v>1306</v>
      </c>
      <c r="N2" s="696" t="s">
        <v>2324</v>
      </c>
      <c r="O2" s="328"/>
      <c r="P2" s="327"/>
      <c r="Q2" s="327"/>
      <c r="R2" s="327"/>
      <c r="S2" s="327"/>
      <c r="T2" s="327"/>
      <c r="U2" s="327"/>
      <c r="V2" s="327"/>
      <c r="W2" s="327"/>
      <c r="X2" s="331"/>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row>
    <row r="3" spans="1:88" ht="15" customHeight="1" x14ac:dyDescent="0.3">
      <c r="A3" s="50">
        <v>0</v>
      </c>
      <c r="B3" s="588">
        <v>0.06</v>
      </c>
      <c r="C3" s="588">
        <v>0.06</v>
      </c>
      <c r="D3" s="588">
        <v>0.04</v>
      </c>
      <c r="E3" s="588">
        <v>0.06</v>
      </c>
      <c r="F3" s="588">
        <v>0.04</v>
      </c>
      <c r="G3" s="588">
        <v>0.03</v>
      </c>
      <c r="H3" s="688">
        <v>0.1</v>
      </c>
      <c r="I3" s="588">
        <v>7.0000000000000007E-2</v>
      </c>
      <c r="J3" s="588">
        <v>0.05</v>
      </c>
      <c r="K3" s="259" t="s">
        <v>1157</v>
      </c>
      <c r="L3" s="585" t="str">
        <f>IF(Spine!T6="","",Spine!T6)</f>
        <v/>
      </c>
      <c r="M3" s="585" t="str">
        <f>IF(L3="","",ROUND(L3,0))</f>
        <v/>
      </c>
      <c r="N3" s="588">
        <f>IF(M3="",0,VLOOKUP(M3,$A$3:$J$85,2))</f>
        <v>0</v>
      </c>
      <c r="Q3" s="62"/>
      <c r="R3" s="95"/>
      <c r="T3" s="332"/>
    </row>
    <row r="4" spans="1:88" ht="15" customHeight="1" x14ac:dyDescent="0.3">
      <c r="A4" s="50">
        <v>1</v>
      </c>
      <c r="B4" s="588">
        <v>5.8999999999999997E-2</v>
      </c>
      <c r="C4" s="588">
        <v>5.9200000000000003E-2</v>
      </c>
      <c r="D4" s="588">
        <v>3.8699999999999998E-2</v>
      </c>
      <c r="E4" s="588">
        <v>5.8999999999999997E-2</v>
      </c>
      <c r="F4" s="588">
        <v>3.8699999999999998E-2</v>
      </c>
      <c r="G4" s="588">
        <v>2.9000000000000001E-2</v>
      </c>
      <c r="H4" s="688">
        <v>0.1</v>
      </c>
      <c r="I4" s="588">
        <v>6.8000000000000005E-2</v>
      </c>
      <c r="J4" s="588">
        <v>4.8000000000000001E-2</v>
      </c>
      <c r="K4" s="259" t="s">
        <v>1158</v>
      </c>
      <c r="L4" s="585" t="str">
        <f>IF(Spine!T7="","",Spine!T7)</f>
        <v/>
      </c>
      <c r="M4" s="585" t="str">
        <f t="shared" ref="M4:M15" si="0">IF(L4="","",ROUND(L4,0))</f>
        <v/>
      </c>
      <c r="N4" s="588">
        <f>IF(M4="",0,VLOOKUP(M4,$A$3:$J$85,3))</f>
        <v>0</v>
      </c>
      <c r="Q4" s="62"/>
      <c r="R4" s="95"/>
      <c r="T4" s="332"/>
    </row>
    <row r="5" spans="1:88" ht="15" customHeight="1" x14ac:dyDescent="0.3">
      <c r="A5" s="50">
        <v>2</v>
      </c>
      <c r="B5" s="588">
        <v>5.8000000000000003E-2</v>
      </c>
      <c r="C5" s="588">
        <v>5.8400000000000001E-2</v>
      </c>
      <c r="D5" s="588">
        <v>3.73E-2</v>
      </c>
      <c r="E5" s="588">
        <v>5.8000000000000003E-2</v>
      </c>
      <c r="F5" s="588">
        <v>3.73E-2</v>
      </c>
      <c r="G5" s="588">
        <v>2.8000000000000001E-2</v>
      </c>
      <c r="H5" s="688">
        <v>0.1</v>
      </c>
      <c r="I5" s="588">
        <v>6.6000000000000003E-2</v>
      </c>
      <c r="J5" s="588">
        <v>4.5999999999999999E-2</v>
      </c>
      <c r="K5" s="259" t="s">
        <v>1159</v>
      </c>
      <c r="L5" s="585" t="str">
        <f>IF(Spine!T8="","",Spine!T8)</f>
        <v/>
      </c>
      <c r="M5" s="585" t="str">
        <f t="shared" si="0"/>
        <v/>
      </c>
      <c r="N5" s="588">
        <f>IF(M5="",0,VLOOKUP(M5,$A$3:$J$85,4))</f>
        <v>0</v>
      </c>
      <c r="Q5" s="62"/>
      <c r="R5" s="95"/>
      <c r="T5" s="332"/>
    </row>
    <row r="6" spans="1:88" ht="15" customHeight="1" x14ac:dyDescent="0.3">
      <c r="A6" s="50">
        <v>3</v>
      </c>
      <c r="B6" s="588">
        <v>5.7000000000000002E-2</v>
      </c>
      <c r="C6" s="588">
        <v>5.7599999999999998E-2</v>
      </c>
      <c r="D6" s="588">
        <v>3.5999999999999997E-2</v>
      </c>
      <c r="E6" s="588">
        <v>5.7000000000000002E-2</v>
      </c>
      <c r="F6" s="588">
        <v>3.5999999999999997E-2</v>
      </c>
      <c r="G6" s="588">
        <v>2.7E-2</v>
      </c>
      <c r="H6" s="688">
        <v>0.1</v>
      </c>
      <c r="I6" s="588">
        <v>6.4000000000000001E-2</v>
      </c>
      <c r="J6" s="588">
        <v>4.3999999999999997E-2</v>
      </c>
      <c r="K6" s="259" t="s">
        <v>1160</v>
      </c>
      <c r="L6" s="585" t="str">
        <f>IF(Spine!T9="","",Spine!T9)</f>
        <v/>
      </c>
      <c r="M6" s="585" t="str">
        <f t="shared" si="0"/>
        <v/>
      </c>
      <c r="N6" s="588">
        <f>IF(M6="",0,VLOOKUP(M6,$A$3:$J$85,4))</f>
        <v>0</v>
      </c>
      <c r="T6" s="332"/>
    </row>
    <row r="7" spans="1:88" ht="15" customHeight="1" x14ac:dyDescent="0.3">
      <c r="A7" s="50">
        <v>4</v>
      </c>
      <c r="B7" s="588">
        <v>5.6000000000000001E-2</v>
      </c>
      <c r="C7" s="588">
        <v>5.6800000000000003E-2</v>
      </c>
      <c r="D7" s="588">
        <v>3.4700000000000002E-2</v>
      </c>
      <c r="E7" s="588">
        <v>5.6000000000000001E-2</v>
      </c>
      <c r="F7" s="588">
        <v>3.4700000000000002E-2</v>
      </c>
      <c r="G7" s="588">
        <v>2.5999999999999999E-2</v>
      </c>
      <c r="H7" s="688">
        <v>0.1</v>
      </c>
      <c r="I7" s="588">
        <v>6.2E-2</v>
      </c>
      <c r="J7" s="588">
        <v>4.2000000000000003E-2</v>
      </c>
      <c r="K7" s="259" t="s">
        <v>1410</v>
      </c>
      <c r="L7" s="585" t="str">
        <f>IF(Spine!T10="","",Spine!T10)</f>
        <v/>
      </c>
      <c r="M7" s="585" t="str">
        <f t="shared" si="0"/>
        <v/>
      </c>
      <c r="N7" s="588">
        <f>IF(M7="",0,VLOOKUP(M7,$A$3:$J$85,5))</f>
        <v>0</v>
      </c>
      <c r="Q7" s="62"/>
      <c r="R7" s="95"/>
      <c r="T7" s="332"/>
    </row>
    <row r="8" spans="1:88" ht="15" customHeight="1" x14ac:dyDescent="0.3">
      <c r="A8" s="50">
        <v>5</v>
      </c>
      <c r="B8" s="588">
        <v>5.5E-2</v>
      </c>
      <c r="C8" s="588">
        <v>5.6000000000000001E-2</v>
      </c>
      <c r="D8" s="588">
        <v>3.3300000000000003E-2</v>
      </c>
      <c r="E8" s="588">
        <v>5.5E-2</v>
      </c>
      <c r="F8" s="588">
        <v>3.3300000000000003E-2</v>
      </c>
      <c r="G8" s="588">
        <v>2.5000000000000001E-2</v>
      </c>
      <c r="H8" s="688">
        <v>0.1</v>
      </c>
      <c r="I8" s="588">
        <v>0.06</v>
      </c>
      <c r="J8" s="588">
        <v>0.04</v>
      </c>
      <c r="K8" s="259" t="s">
        <v>1411</v>
      </c>
      <c r="L8" s="585" t="str">
        <f>IF(Spine!T11="","",Spine!T11)</f>
        <v/>
      </c>
      <c r="M8" s="585" t="str">
        <f t="shared" si="0"/>
        <v/>
      </c>
      <c r="N8" s="588">
        <f>IF(M8="",0,VLOOKUP(M8,$A$3:$J$85,5))</f>
        <v>0</v>
      </c>
      <c r="T8" s="332"/>
    </row>
    <row r="9" spans="1:88" ht="15" customHeight="1" x14ac:dyDescent="0.3">
      <c r="A9" s="50">
        <v>6</v>
      </c>
      <c r="B9" s="588">
        <v>5.3999999999999999E-2</v>
      </c>
      <c r="C9" s="588">
        <v>5.5199999999999999E-2</v>
      </c>
      <c r="D9" s="588">
        <v>3.2000000000000001E-2</v>
      </c>
      <c r="E9" s="588">
        <v>5.3999999999999999E-2</v>
      </c>
      <c r="F9" s="588">
        <v>3.2000000000000001E-2</v>
      </c>
      <c r="G9" s="588">
        <v>2.4E-2</v>
      </c>
      <c r="H9" s="688">
        <v>0.1</v>
      </c>
      <c r="I9" s="588">
        <v>5.8000000000000003E-2</v>
      </c>
      <c r="J9" s="588">
        <v>3.7999999999999999E-2</v>
      </c>
      <c r="K9" s="259" t="s">
        <v>447</v>
      </c>
      <c r="L9" s="585" t="str">
        <f>IF(Spine!T51="","",Spine!T51)</f>
        <v/>
      </c>
      <c r="M9" s="585" t="str">
        <f t="shared" si="0"/>
        <v/>
      </c>
      <c r="N9" s="588">
        <f>IF(M9="",0,VLOOKUP(M9,$A$3:$J$85,6))</f>
        <v>0</v>
      </c>
      <c r="Q9" s="62"/>
      <c r="R9" s="95"/>
      <c r="T9" s="332"/>
    </row>
    <row r="10" spans="1:88" ht="15" customHeight="1" x14ac:dyDescent="0.3">
      <c r="A10" s="50">
        <v>7</v>
      </c>
      <c r="B10" s="588">
        <v>5.2999999999999999E-2</v>
      </c>
      <c r="C10" s="588">
        <v>5.4399999999999997E-2</v>
      </c>
      <c r="D10" s="588">
        <v>3.0700000000000002E-2</v>
      </c>
      <c r="E10" s="588">
        <v>5.2999999999999999E-2</v>
      </c>
      <c r="F10" s="588">
        <v>3.0700000000000002E-2</v>
      </c>
      <c r="G10" s="588">
        <v>2.3E-2</v>
      </c>
      <c r="H10" s="688">
        <v>0.1</v>
      </c>
      <c r="I10" s="588">
        <v>5.6000000000000001E-2</v>
      </c>
      <c r="J10" s="588">
        <v>3.5999999999999997E-2</v>
      </c>
      <c r="K10" s="259" t="s">
        <v>448</v>
      </c>
      <c r="L10" s="585" t="str">
        <f>IF(Spine!T52="","",Spine!T52)</f>
        <v/>
      </c>
      <c r="M10" s="585" t="str">
        <f t="shared" si="0"/>
        <v/>
      </c>
      <c r="N10" s="588">
        <f>IF(M10="",0,VLOOKUP(M10,$A$3:$J$85,7))</f>
        <v>0</v>
      </c>
      <c r="T10" s="332"/>
    </row>
    <row r="11" spans="1:88" ht="15" customHeight="1" x14ac:dyDescent="0.3">
      <c r="A11" s="50">
        <v>8</v>
      </c>
      <c r="B11" s="588">
        <v>5.1999999999999998E-2</v>
      </c>
      <c r="C11" s="588">
        <v>5.3600000000000002E-2</v>
      </c>
      <c r="D11" s="588">
        <v>2.93E-2</v>
      </c>
      <c r="E11" s="588">
        <v>5.1999999999999998E-2</v>
      </c>
      <c r="F11" s="588">
        <v>2.93E-2</v>
      </c>
      <c r="G11" s="588">
        <v>2.1999999999999999E-2</v>
      </c>
      <c r="H11" s="688">
        <v>0.1</v>
      </c>
      <c r="I11" s="588">
        <v>5.3999999999999999E-2</v>
      </c>
      <c r="J11" s="588">
        <v>3.4000000000000002E-2</v>
      </c>
      <c r="K11" s="259" t="s">
        <v>449</v>
      </c>
      <c r="L11" s="585" t="str">
        <f>IF(Spine!T53="","",Spine!T53)</f>
        <v/>
      </c>
      <c r="M11" s="585" t="str">
        <f t="shared" si="0"/>
        <v/>
      </c>
      <c r="N11" s="588">
        <f>IF(M11="",0,VLOOKUP(M11,$A$3:$J$85,7))</f>
        <v>0</v>
      </c>
      <c r="Q11" s="62"/>
      <c r="R11" s="95"/>
      <c r="T11" s="332"/>
    </row>
    <row r="12" spans="1:88" ht="15" customHeight="1" x14ac:dyDescent="0.3">
      <c r="A12" s="50">
        <v>9</v>
      </c>
      <c r="B12" s="588">
        <v>5.0999999999999997E-2</v>
      </c>
      <c r="C12" s="588">
        <v>5.28E-2</v>
      </c>
      <c r="D12" s="588">
        <v>2.8000000000000001E-2</v>
      </c>
      <c r="E12" s="588">
        <v>5.0999999999999997E-2</v>
      </c>
      <c r="F12" s="588">
        <v>2.8000000000000001E-2</v>
      </c>
      <c r="G12" s="588">
        <v>2.1000000000000001E-2</v>
      </c>
      <c r="H12" s="688">
        <v>0.1</v>
      </c>
      <c r="I12" s="588">
        <v>5.1999999999999998E-2</v>
      </c>
      <c r="J12" s="588">
        <v>3.2000000000000001E-2</v>
      </c>
      <c r="K12" s="259" t="s">
        <v>1148</v>
      </c>
      <c r="L12" s="585" t="str">
        <f>IF(Spine!T104="","",Spine!T104)</f>
        <v/>
      </c>
      <c r="M12" s="585" t="str">
        <f t="shared" si="0"/>
        <v/>
      </c>
      <c r="N12" s="588">
        <f>IF(M12="",0,VLOOKUP(M12,$A$3:$J$85,8))</f>
        <v>0</v>
      </c>
      <c r="T12" s="332"/>
    </row>
    <row r="13" spans="1:88" ht="15" customHeight="1" x14ac:dyDescent="0.3">
      <c r="A13" s="50">
        <v>10</v>
      </c>
      <c r="B13" s="588">
        <v>0.05</v>
      </c>
      <c r="C13" s="588">
        <v>5.1999999999999998E-2</v>
      </c>
      <c r="D13" s="588">
        <v>2.6700000000000002E-2</v>
      </c>
      <c r="E13" s="588">
        <v>0.05</v>
      </c>
      <c r="F13" s="588">
        <v>2.6700000000000002E-2</v>
      </c>
      <c r="G13" s="588">
        <v>0.02</v>
      </c>
      <c r="H13" s="688">
        <v>0.1</v>
      </c>
      <c r="I13" s="588">
        <v>0.05</v>
      </c>
      <c r="J13" s="588">
        <v>0.03</v>
      </c>
      <c r="K13" s="259" t="s">
        <v>1149</v>
      </c>
      <c r="L13" s="585" t="str">
        <f>IF(Spine!T105="","",Spine!T105)</f>
        <v/>
      </c>
      <c r="M13" s="585" t="str">
        <f t="shared" si="0"/>
        <v/>
      </c>
      <c r="N13" s="588">
        <f>IF(M13="",0,VLOOKUP(M13,$A$3:$J$85,9))</f>
        <v>0</v>
      </c>
      <c r="Q13" s="62"/>
      <c r="R13" s="95"/>
      <c r="T13" s="332"/>
    </row>
    <row r="14" spans="1:88" ht="15" customHeight="1" x14ac:dyDescent="0.3">
      <c r="A14" s="50">
        <v>11</v>
      </c>
      <c r="B14" s="588">
        <v>4.9000000000000002E-2</v>
      </c>
      <c r="C14" s="588">
        <v>5.1200000000000002E-2</v>
      </c>
      <c r="D14" s="588">
        <v>2.53E-2</v>
      </c>
      <c r="E14" s="588">
        <v>4.9000000000000002E-2</v>
      </c>
      <c r="F14" s="588">
        <v>2.53E-2</v>
      </c>
      <c r="G14" s="588">
        <v>1.9E-2</v>
      </c>
      <c r="H14" s="688">
        <v>0.1</v>
      </c>
      <c r="I14" s="588">
        <v>4.5999999999999999E-2</v>
      </c>
      <c r="J14" s="588">
        <v>2.8000000000000001E-2</v>
      </c>
      <c r="K14" s="259" t="s">
        <v>1150</v>
      </c>
      <c r="L14" s="585" t="str">
        <f>IF(Spine!T106="","",Spine!T106)</f>
        <v/>
      </c>
      <c r="M14" s="585" t="str">
        <f t="shared" si="0"/>
        <v/>
      </c>
      <c r="N14" s="588">
        <f>IF(M14="",0,VLOOKUP(M14,$A$3:$J$85,10))</f>
        <v>0</v>
      </c>
      <c r="T14" s="332"/>
    </row>
    <row r="15" spans="1:88" ht="15" customHeight="1" x14ac:dyDescent="0.3">
      <c r="A15" s="50">
        <v>12</v>
      </c>
      <c r="B15" s="588">
        <v>4.8000000000000001E-2</v>
      </c>
      <c r="C15" s="588">
        <v>5.04E-2</v>
      </c>
      <c r="D15" s="588">
        <v>2.4E-2</v>
      </c>
      <c r="E15" s="588">
        <v>4.8000000000000001E-2</v>
      </c>
      <c r="F15" s="588">
        <v>2.4E-2</v>
      </c>
      <c r="G15" s="588">
        <v>1.7999999999999999E-2</v>
      </c>
      <c r="H15" s="688">
        <v>0.1</v>
      </c>
      <c r="I15" s="588">
        <v>4.2000000000000003E-2</v>
      </c>
      <c r="J15" s="588">
        <v>2.5999999999999999E-2</v>
      </c>
      <c r="K15" s="259" t="s">
        <v>1151</v>
      </c>
      <c r="L15" s="585" t="str">
        <f>IF(Spine!T107="","",Spine!T107)</f>
        <v/>
      </c>
      <c r="M15" s="585" t="str">
        <f t="shared" si="0"/>
        <v/>
      </c>
      <c r="N15" s="588">
        <f>IF(M15="",0,VLOOKUP(M15,$A$3:$J$85,10))</f>
        <v>0</v>
      </c>
      <c r="T15" s="332"/>
    </row>
    <row r="16" spans="1:88" ht="15" customHeight="1" x14ac:dyDescent="0.3">
      <c r="A16" s="50">
        <v>13</v>
      </c>
      <c r="B16" s="588">
        <v>4.7E-2</v>
      </c>
      <c r="C16" s="588">
        <v>4.9599999999999998E-2</v>
      </c>
      <c r="D16" s="588">
        <v>2.2700000000000001E-2</v>
      </c>
      <c r="E16" s="588">
        <v>4.7E-2</v>
      </c>
      <c r="F16" s="588">
        <v>2.2700000000000001E-2</v>
      </c>
      <c r="G16" s="588">
        <v>1.7000000000000001E-2</v>
      </c>
      <c r="H16" s="688">
        <v>0.1</v>
      </c>
      <c r="I16" s="588">
        <v>3.7999999999999999E-2</v>
      </c>
      <c r="J16" s="588">
        <v>2.4E-2</v>
      </c>
      <c r="T16" s="332"/>
    </row>
    <row r="17" spans="1:22" ht="15" customHeight="1" x14ac:dyDescent="0.3">
      <c r="A17" s="50">
        <v>14</v>
      </c>
      <c r="B17" s="588">
        <v>4.5999999999999999E-2</v>
      </c>
      <c r="C17" s="588">
        <v>4.8800000000000003E-2</v>
      </c>
      <c r="D17" s="588">
        <v>2.1299999999999999E-2</v>
      </c>
      <c r="E17" s="588">
        <v>4.5999999999999999E-2</v>
      </c>
      <c r="F17" s="588">
        <v>2.1299999999999999E-2</v>
      </c>
      <c r="G17" s="588">
        <v>1.6E-2</v>
      </c>
      <c r="H17" s="688">
        <v>0.1</v>
      </c>
      <c r="I17" s="588">
        <v>3.4000000000000002E-2</v>
      </c>
      <c r="J17" s="588">
        <v>2.1999999999999999E-2</v>
      </c>
      <c r="Q17" s="62"/>
      <c r="R17" s="95"/>
      <c r="T17" s="332"/>
    </row>
    <row r="18" spans="1:22" ht="15" customHeight="1" x14ac:dyDescent="0.3">
      <c r="A18" s="50">
        <v>15</v>
      </c>
      <c r="B18" s="588">
        <v>4.4999999999999998E-2</v>
      </c>
      <c r="C18" s="588">
        <v>4.8000000000000001E-2</v>
      </c>
      <c r="D18" s="588">
        <v>0.02</v>
      </c>
      <c r="E18" s="588">
        <v>4.4999999999999998E-2</v>
      </c>
      <c r="F18" s="588">
        <v>0.02</v>
      </c>
      <c r="G18" s="588">
        <v>1.4999999999999999E-2</v>
      </c>
      <c r="H18" s="688">
        <v>7.0000000000000007E-2</v>
      </c>
      <c r="I18" s="588">
        <v>0.03</v>
      </c>
      <c r="J18" s="588">
        <v>0.02</v>
      </c>
      <c r="T18" s="332"/>
    </row>
    <row r="19" spans="1:22" ht="15" customHeight="1" x14ac:dyDescent="0.3">
      <c r="A19" s="50">
        <v>16</v>
      </c>
      <c r="B19" s="588">
        <v>4.3999999999999997E-2</v>
      </c>
      <c r="C19" s="588">
        <v>4.7199999999999999E-2</v>
      </c>
      <c r="D19" s="588">
        <v>1.9300000000000001E-2</v>
      </c>
      <c r="E19" s="588">
        <v>4.3999999999999997E-2</v>
      </c>
      <c r="F19" s="588">
        <v>1.9300000000000001E-2</v>
      </c>
      <c r="G19" s="588">
        <v>1.4E-2</v>
      </c>
      <c r="H19" s="688">
        <v>7.0000000000000007E-2</v>
      </c>
      <c r="I19" s="588">
        <v>2.8000000000000001E-2</v>
      </c>
      <c r="J19" s="588">
        <v>1.7999999999999999E-2</v>
      </c>
      <c r="T19" s="332"/>
      <c r="V19" s="330"/>
    </row>
    <row r="20" spans="1:22" ht="15" customHeight="1" x14ac:dyDescent="0.3">
      <c r="A20" s="50">
        <v>17</v>
      </c>
      <c r="B20" s="588">
        <v>4.2999999999999997E-2</v>
      </c>
      <c r="C20" s="588">
        <v>4.6399999999999997E-2</v>
      </c>
      <c r="D20" s="588">
        <v>1.8700000000000001E-2</v>
      </c>
      <c r="E20" s="588">
        <v>4.2999999999999997E-2</v>
      </c>
      <c r="F20" s="588">
        <v>1.8700000000000001E-2</v>
      </c>
      <c r="G20" s="588">
        <v>1.2999999999999999E-2</v>
      </c>
      <c r="H20" s="688">
        <v>7.0000000000000007E-2</v>
      </c>
      <c r="I20" s="588">
        <v>2.5999999999999999E-2</v>
      </c>
      <c r="J20" s="588">
        <v>1.6E-2</v>
      </c>
      <c r="Q20" s="62"/>
      <c r="R20" s="95"/>
      <c r="T20" s="332"/>
      <c r="V20" s="330"/>
    </row>
    <row r="21" spans="1:22" ht="15.75" customHeight="1" x14ac:dyDescent="0.3">
      <c r="A21" s="50">
        <v>18</v>
      </c>
      <c r="B21" s="588">
        <v>4.2000000000000003E-2</v>
      </c>
      <c r="C21" s="588">
        <v>4.5600000000000002E-2</v>
      </c>
      <c r="D21" s="588">
        <v>1.7999999999999999E-2</v>
      </c>
      <c r="E21" s="588">
        <v>4.2000000000000003E-2</v>
      </c>
      <c r="F21" s="588">
        <v>1.7999999999999999E-2</v>
      </c>
      <c r="G21" s="588">
        <v>1.2E-2</v>
      </c>
      <c r="H21" s="688">
        <v>7.0000000000000007E-2</v>
      </c>
      <c r="I21" s="588">
        <v>2.4E-2</v>
      </c>
      <c r="J21" s="588">
        <v>1.4E-2</v>
      </c>
      <c r="Q21" s="62"/>
      <c r="R21" s="95"/>
      <c r="T21" s="332"/>
      <c r="V21" s="330"/>
    </row>
    <row r="22" spans="1:22" ht="15" customHeight="1" x14ac:dyDescent="0.3">
      <c r="A22" s="50">
        <v>19</v>
      </c>
      <c r="B22" s="588">
        <v>4.1000000000000002E-2</v>
      </c>
      <c r="C22" s="588">
        <v>4.48E-2</v>
      </c>
      <c r="D22" s="588">
        <v>1.7299999999999999E-2</v>
      </c>
      <c r="E22" s="588">
        <v>4.1000000000000002E-2</v>
      </c>
      <c r="F22" s="588">
        <v>1.7299999999999999E-2</v>
      </c>
      <c r="G22" s="588">
        <v>1.0999999999999999E-2</v>
      </c>
      <c r="H22" s="688">
        <v>7.0000000000000007E-2</v>
      </c>
      <c r="I22" s="588">
        <v>2.1999999999999999E-2</v>
      </c>
      <c r="J22" s="688">
        <v>1.2E-2</v>
      </c>
      <c r="T22" s="332"/>
      <c r="V22" s="330"/>
    </row>
    <row r="23" spans="1:22" ht="15" customHeight="1" x14ac:dyDescent="0.3">
      <c r="A23" s="50">
        <v>20</v>
      </c>
      <c r="B23" s="588">
        <v>0.04</v>
      </c>
      <c r="C23" s="588">
        <v>4.3999999999999997E-2</v>
      </c>
      <c r="D23" s="588">
        <v>1.67E-2</v>
      </c>
      <c r="E23" s="588">
        <v>0.04</v>
      </c>
      <c r="F23" s="588">
        <v>1.67E-2</v>
      </c>
      <c r="G23" s="588">
        <v>0.01</v>
      </c>
      <c r="H23" s="688">
        <v>7.0000000000000007E-2</v>
      </c>
      <c r="I23" s="588">
        <v>0.02</v>
      </c>
      <c r="J23" s="688">
        <v>0.01</v>
      </c>
      <c r="T23" s="332"/>
      <c r="V23" s="330"/>
    </row>
    <row r="24" spans="1:22" ht="15" customHeight="1" x14ac:dyDescent="0.3">
      <c r="A24" s="50">
        <v>21</v>
      </c>
      <c r="B24" s="588">
        <v>3.9E-2</v>
      </c>
      <c r="C24" s="588">
        <v>4.3200000000000002E-2</v>
      </c>
      <c r="D24" s="588">
        <v>1.6E-2</v>
      </c>
      <c r="E24" s="588">
        <v>3.9E-2</v>
      </c>
      <c r="F24" s="588">
        <v>1.6E-2</v>
      </c>
      <c r="G24" s="588">
        <v>8.9999999999999993E-3</v>
      </c>
      <c r="H24" s="688">
        <v>7.0000000000000007E-2</v>
      </c>
      <c r="I24" s="553">
        <v>1.6E-2</v>
      </c>
      <c r="J24" s="588">
        <v>8.0000000000000002E-3</v>
      </c>
      <c r="T24" s="332"/>
      <c r="V24" s="330"/>
    </row>
    <row r="25" spans="1:22" ht="15" customHeight="1" x14ac:dyDescent="0.3">
      <c r="A25" s="50">
        <v>22</v>
      </c>
      <c r="B25" s="588">
        <v>3.7999999999999999E-2</v>
      </c>
      <c r="C25" s="588">
        <v>4.24E-2</v>
      </c>
      <c r="D25" s="588">
        <v>1.5299999999999999E-2</v>
      </c>
      <c r="E25" s="588">
        <v>3.7999999999999999E-2</v>
      </c>
      <c r="F25" s="588">
        <v>1.5299999999999999E-2</v>
      </c>
      <c r="G25" s="588">
        <v>8.0000000000000002E-3</v>
      </c>
      <c r="H25" s="688">
        <v>7.0000000000000007E-2</v>
      </c>
      <c r="I25" s="553">
        <v>1.2E-2</v>
      </c>
      <c r="J25" s="588">
        <v>6.0000000000000001E-3</v>
      </c>
      <c r="Q25" s="62"/>
      <c r="R25" s="95"/>
      <c r="T25" s="332"/>
      <c r="V25" s="330"/>
    </row>
    <row r="26" spans="1:22" ht="15" customHeight="1" x14ac:dyDescent="0.3">
      <c r="A26" s="50">
        <v>23</v>
      </c>
      <c r="B26" s="588">
        <v>3.6999999999999998E-2</v>
      </c>
      <c r="C26" s="588">
        <v>4.1599999999999998E-2</v>
      </c>
      <c r="D26" s="588">
        <v>1.47E-2</v>
      </c>
      <c r="E26" s="588">
        <v>3.6999999999999998E-2</v>
      </c>
      <c r="F26" s="588">
        <v>1.47E-2</v>
      </c>
      <c r="G26" s="588">
        <v>7.0000000000000001E-3</v>
      </c>
      <c r="H26" s="688">
        <v>7.0000000000000007E-2</v>
      </c>
      <c r="I26" s="553">
        <v>8.0000000000000002E-3</v>
      </c>
      <c r="J26" s="588">
        <v>4.0000000000000001E-3</v>
      </c>
      <c r="Q26" s="62"/>
      <c r="R26" s="95"/>
      <c r="T26" s="332"/>
      <c r="V26" s="330"/>
    </row>
    <row r="27" spans="1:22" ht="15" customHeight="1" x14ac:dyDescent="0.3">
      <c r="A27" s="50">
        <v>24</v>
      </c>
      <c r="B27" s="588">
        <v>3.5999999999999997E-2</v>
      </c>
      <c r="C27" s="588">
        <v>4.0800000000000003E-2</v>
      </c>
      <c r="D27" s="588">
        <v>1.4E-2</v>
      </c>
      <c r="E27" s="588">
        <v>3.5999999999999997E-2</v>
      </c>
      <c r="F27" s="588">
        <v>1.4E-2</v>
      </c>
      <c r="G27" s="588">
        <v>6.0000000000000001E-3</v>
      </c>
      <c r="H27" s="688">
        <v>7.0000000000000007E-2</v>
      </c>
      <c r="I27" s="553">
        <v>4.0000000000000001E-3</v>
      </c>
      <c r="J27" s="588">
        <v>2E-3</v>
      </c>
      <c r="T27" s="332"/>
      <c r="V27" s="330"/>
    </row>
    <row r="28" spans="1:22" ht="15" customHeight="1" x14ac:dyDescent="0.3">
      <c r="A28" s="50">
        <v>25</v>
      </c>
      <c r="B28" s="588">
        <v>3.5000000000000003E-2</v>
      </c>
      <c r="C28" s="588">
        <v>0.04</v>
      </c>
      <c r="D28" s="588">
        <v>1.3299999999999999E-2</v>
      </c>
      <c r="E28" s="588">
        <v>3.5000000000000003E-2</v>
      </c>
      <c r="F28" s="588">
        <v>1.3299999999999999E-2</v>
      </c>
      <c r="G28" s="588">
        <v>5.0000000000000001E-3</v>
      </c>
      <c r="H28" s="688">
        <v>7.0000000000000007E-2</v>
      </c>
      <c r="I28" s="553">
        <v>0</v>
      </c>
      <c r="J28" s="588">
        <v>0</v>
      </c>
      <c r="T28" s="332"/>
      <c r="V28" s="330"/>
    </row>
    <row r="29" spans="1:22" ht="15" customHeight="1" x14ac:dyDescent="0.3">
      <c r="A29" s="50">
        <v>26</v>
      </c>
      <c r="B29" s="588">
        <v>3.4000000000000002E-2</v>
      </c>
      <c r="C29" s="588">
        <v>3.9199999999999999E-2</v>
      </c>
      <c r="D29" s="588">
        <v>1.2699999999999999E-2</v>
      </c>
      <c r="E29" s="588">
        <v>3.4000000000000002E-2</v>
      </c>
      <c r="F29" s="588">
        <v>1.2699999999999999E-2</v>
      </c>
      <c r="G29" s="588">
        <v>4.0000000000000001E-3</v>
      </c>
      <c r="H29" s="688">
        <v>7.0000000000000007E-2</v>
      </c>
      <c r="I29" s="588"/>
      <c r="J29" s="553"/>
      <c r="Q29" s="62"/>
      <c r="R29" s="95"/>
      <c r="T29" s="332"/>
      <c r="U29" s="10"/>
      <c r="V29" s="330"/>
    </row>
    <row r="30" spans="1:22" ht="15" customHeight="1" x14ac:dyDescent="0.3">
      <c r="A30" s="50">
        <v>27</v>
      </c>
      <c r="B30" s="588">
        <v>3.3000000000000002E-2</v>
      </c>
      <c r="C30" s="588">
        <v>3.8399999999999997E-2</v>
      </c>
      <c r="D30" s="588">
        <v>1.2E-2</v>
      </c>
      <c r="E30" s="588">
        <v>3.3000000000000002E-2</v>
      </c>
      <c r="F30" s="588">
        <v>1.2E-2</v>
      </c>
      <c r="G30" s="588">
        <v>3.0000000000000001E-3</v>
      </c>
      <c r="H30" s="688">
        <v>7.0000000000000007E-2</v>
      </c>
      <c r="I30" s="588"/>
      <c r="J30" s="553"/>
      <c r="Q30" s="62"/>
      <c r="R30" s="95"/>
      <c r="T30" s="332"/>
      <c r="U30" s="10"/>
      <c r="V30" s="330"/>
    </row>
    <row r="31" spans="1:22" ht="15" customHeight="1" x14ac:dyDescent="0.3">
      <c r="A31" s="50">
        <v>28</v>
      </c>
      <c r="B31" s="588">
        <v>3.2000000000000001E-2</v>
      </c>
      <c r="C31" s="588">
        <v>3.7600000000000001E-2</v>
      </c>
      <c r="D31" s="588">
        <v>1.1299999999999999E-2</v>
      </c>
      <c r="E31" s="588">
        <v>3.2000000000000001E-2</v>
      </c>
      <c r="F31" s="588">
        <v>1.1299999999999999E-2</v>
      </c>
      <c r="G31" s="588">
        <v>2E-3</v>
      </c>
      <c r="H31" s="688">
        <v>7.0000000000000007E-2</v>
      </c>
      <c r="I31" s="588"/>
      <c r="J31" s="553"/>
      <c r="T31" s="332"/>
      <c r="U31" s="10"/>
      <c r="V31" s="330"/>
    </row>
    <row r="32" spans="1:22" ht="15" customHeight="1" x14ac:dyDescent="0.3">
      <c r="A32" s="50">
        <v>29</v>
      </c>
      <c r="B32" s="588">
        <v>3.1E-2</v>
      </c>
      <c r="C32" s="588">
        <v>3.6799999999999999E-2</v>
      </c>
      <c r="D32" s="588">
        <v>1.0699999999999999E-2</v>
      </c>
      <c r="E32" s="588">
        <v>3.1E-2</v>
      </c>
      <c r="F32" s="588">
        <v>1.0699999999999999E-2</v>
      </c>
      <c r="G32" s="588">
        <v>1E-3</v>
      </c>
      <c r="H32" s="688">
        <v>7.0000000000000007E-2</v>
      </c>
      <c r="I32" s="588"/>
      <c r="J32" s="553"/>
      <c r="T32" s="332"/>
      <c r="U32" s="10"/>
      <c r="V32" s="330"/>
    </row>
    <row r="33" spans="1:22" ht="15" customHeight="1" x14ac:dyDescent="0.3">
      <c r="A33" s="50">
        <v>30</v>
      </c>
      <c r="B33" s="588">
        <v>0.03</v>
      </c>
      <c r="C33" s="588">
        <v>3.5999999999999997E-2</v>
      </c>
      <c r="D33" s="588">
        <v>0.01</v>
      </c>
      <c r="E33" s="588">
        <v>0.03</v>
      </c>
      <c r="F33" s="588">
        <v>0.01</v>
      </c>
      <c r="G33" s="588">
        <v>0</v>
      </c>
      <c r="H33" s="688">
        <v>0.04</v>
      </c>
      <c r="I33" s="588"/>
      <c r="J33" s="553"/>
      <c r="Q33" s="62"/>
      <c r="R33" s="95"/>
      <c r="T33" s="332"/>
      <c r="U33" s="10"/>
      <c r="V33" s="330"/>
    </row>
    <row r="34" spans="1:22" ht="15" customHeight="1" x14ac:dyDescent="0.3">
      <c r="A34" s="50">
        <v>31</v>
      </c>
      <c r="B34" s="588">
        <v>2.9000000000000001E-2</v>
      </c>
      <c r="C34" s="588">
        <v>3.5200000000000002E-2</v>
      </c>
      <c r="D34" s="588">
        <v>9.2999999999999992E-3</v>
      </c>
      <c r="E34" s="588">
        <v>2.9000000000000001E-2</v>
      </c>
      <c r="F34" s="588">
        <v>9.4999999999999998E-3</v>
      </c>
      <c r="G34" s="553"/>
      <c r="H34" s="688">
        <v>0.04</v>
      </c>
      <c r="I34" s="588"/>
      <c r="J34" s="553"/>
      <c r="Q34" s="62"/>
      <c r="R34" s="95"/>
      <c r="T34" s="332"/>
      <c r="U34" s="10"/>
      <c r="V34" s="330"/>
    </row>
    <row r="35" spans="1:22" ht="15" customHeight="1" x14ac:dyDescent="0.3">
      <c r="A35" s="50">
        <v>32</v>
      </c>
      <c r="B35" s="588">
        <v>2.8000000000000001E-2</v>
      </c>
      <c r="C35" s="588">
        <v>3.44E-2</v>
      </c>
      <c r="D35" s="588">
        <v>8.6999999999999994E-3</v>
      </c>
      <c r="E35" s="588">
        <v>2.8000000000000001E-2</v>
      </c>
      <c r="F35" s="588">
        <v>8.9999999999999993E-3</v>
      </c>
      <c r="G35" s="553"/>
      <c r="H35" s="688">
        <v>0.04</v>
      </c>
      <c r="I35" s="588"/>
      <c r="J35" s="553"/>
      <c r="T35" s="332"/>
      <c r="U35" s="10"/>
      <c r="V35" s="330"/>
    </row>
    <row r="36" spans="1:22" ht="15" customHeight="1" x14ac:dyDescent="0.3">
      <c r="A36" s="50">
        <v>33</v>
      </c>
      <c r="B36" s="588">
        <v>2.7E-2</v>
      </c>
      <c r="C36" s="588">
        <v>3.3599999999999998E-2</v>
      </c>
      <c r="D36" s="588">
        <v>8.0000000000000002E-3</v>
      </c>
      <c r="E36" s="588">
        <v>2.7E-2</v>
      </c>
      <c r="F36" s="588">
        <v>8.5000000000000006E-3</v>
      </c>
      <c r="G36" s="553"/>
      <c r="H36" s="688">
        <v>0.04</v>
      </c>
      <c r="I36" s="588"/>
      <c r="J36" s="553"/>
      <c r="T36" s="332"/>
      <c r="U36" s="10"/>
      <c r="V36" s="330"/>
    </row>
    <row r="37" spans="1:22" ht="15" customHeight="1" x14ac:dyDescent="0.3">
      <c r="A37" s="50">
        <v>34</v>
      </c>
      <c r="B37" s="588">
        <v>2.5999999999999999E-2</v>
      </c>
      <c r="C37" s="588">
        <v>3.2800000000000003E-2</v>
      </c>
      <c r="D37" s="588">
        <v>7.3000000000000001E-3</v>
      </c>
      <c r="E37" s="588">
        <v>2.5999999999999999E-2</v>
      </c>
      <c r="F37" s="588">
        <v>8.0000000000000002E-3</v>
      </c>
      <c r="G37" s="553"/>
      <c r="H37" s="688">
        <v>0.04</v>
      </c>
      <c r="I37" s="588"/>
      <c r="J37" s="553"/>
      <c r="T37" s="332"/>
      <c r="U37" s="10"/>
      <c r="V37" s="330"/>
    </row>
    <row r="38" spans="1:22" ht="15" customHeight="1" x14ac:dyDescent="0.3">
      <c r="A38" s="50">
        <v>35</v>
      </c>
      <c r="B38" s="588">
        <v>2.5000000000000001E-2</v>
      </c>
      <c r="C38" s="588">
        <v>3.2000000000000001E-2</v>
      </c>
      <c r="D38" s="588">
        <v>6.7000000000000002E-3</v>
      </c>
      <c r="E38" s="588">
        <v>2.5000000000000001E-2</v>
      </c>
      <c r="F38" s="588">
        <v>7.4999999999999997E-3</v>
      </c>
      <c r="G38" s="553"/>
      <c r="H38" s="688">
        <v>0.04</v>
      </c>
      <c r="I38" s="588"/>
      <c r="J38" s="553"/>
      <c r="Q38" s="62"/>
      <c r="R38" s="95"/>
      <c r="T38" s="332"/>
      <c r="U38" s="10"/>
      <c r="V38" s="330"/>
    </row>
    <row r="39" spans="1:22" ht="15" customHeight="1" x14ac:dyDescent="0.3">
      <c r="A39" s="50">
        <v>36</v>
      </c>
      <c r="B39" s="588">
        <v>2.4E-2</v>
      </c>
      <c r="C39" s="588">
        <v>3.1199999999999999E-2</v>
      </c>
      <c r="D39" s="588">
        <v>6.0000000000000001E-3</v>
      </c>
      <c r="E39" s="588">
        <v>2.4E-2</v>
      </c>
      <c r="F39" s="588">
        <v>7.0000000000000001E-3</v>
      </c>
      <c r="G39" s="553"/>
      <c r="H39" s="688">
        <v>0.04</v>
      </c>
      <c r="I39" s="588"/>
      <c r="J39" s="553"/>
      <c r="Q39" s="62"/>
      <c r="R39" s="95"/>
      <c r="T39" s="332"/>
      <c r="U39" s="10"/>
      <c r="V39" s="330"/>
    </row>
    <row r="40" spans="1:22" ht="15" customHeight="1" x14ac:dyDescent="0.3">
      <c r="A40" s="50">
        <v>37</v>
      </c>
      <c r="B40" s="588">
        <v>2.3E-2</v>
      </c>
      <c r="C40" s="588">
        <v>3.04E-2</v>
      </c>
      <c r="D40" s="688">
        <v>5.3E-3</v>
      </c>
      <c r="E40" s="588">
        <v>2.3E-2</v>
      </c>
      <c r="F40" s="588">
        <v>6.4999999999999997E-3</v>
      </c>
      <c r="G40" s="553"/>
      <c r="H40" s="688">
        <v>0.04</v>
      </c>
      <c r="I40" s="588"/>
      <c r="J40" s="553"/>
      <c r="T40" s="332"/>
      <c r="U40" s="10"/>
      <c r="V40" s="330"/>
    </row>
    <row r="41" spans="1:22" ht="15" customHeight="1" x14ac:dyDescent="0.3">
      <c r="A41" s="50">
        <v>38</v>
      </c>
      <c r="B41" s="588">
        <v>2.1999999999999999E-2</v>
      </c>
      <c r="C41" s="588">
        <v>2.9600000000000001E-2</v>
      </c>
      <c r="D41" s="688">
        <v>4.7000000000000002E-3</v>
      </c>
      <c r="E41" s="588">
        <v>2.1999999999999999E-2</v>
      </c>
      <c r="F41" s="588">
        <v>6.0000000000000001E-3</v>
      </c>
      <c r="G41" s="553"/>
      <c r="H41" s="688">
        <v>0.04</v>
      </c>
      <c r="I41" s="588"/>
      <c r="J41" s="611"/>
      <c r="T41" s="332"/>
      <c r="U41" s="10"/>
      <c r="V41" s="330"/>
    </row>
    <row r="42" spans="1:22" ht="15" customHeight="1" x14ac:dyDescent="0.3">
      <c r="A42" s="50">
        <v>39</v>
      </c>
      <c r="B42" s="588">
        <v>2.1000000000000001E-2</v>
      </c>
      <c r="C42" s="588">
        <v>2.8799999999999999E-2</v>
      </c>
      <c r="D42" s="688">
        <v>4.0000000000000001E-3</v>
      </c>
      <c r="E42" s="588">
        <v>2.1000000000000001E-2</v>
      </c>
      <c r="F42" s="588">
        <v>5.4999999999999997E-3</v>
      </c>
      <c r="G42" s="553"/>
      <c r="H42" s="688">
        <v>0.04</v>
      </c>
      <c r="I42" s="588"/>
      <c r="J42" s="553"/>
      <c r="Q42" s="62"/>
      <c r="R42" s="95"/>
      <c r="T42" s="332"/>
      <c r="U42" s="10"/>
      <c r="V42" s="330"/>
    </row>
    <row r="43" spans="1:22" ht="15" customHeight="1" x14ac:dyDescent="0.3">
      <c r="A43" s="50">
        <v>40</v>
      </c>
      <c r="B43" s="588">
        <v>0.02</v>
      </c>
      <c r="C43" s="588">
        <v>2.8000000000000001E-2</v>
      </c>
      <c r="D43" s="688">
        <v>3.3E-3</v>
      </c>
      <c r="E43" s="588">
        <v>0.02</v>
      </c>
      <c r="F43" s="588">
        <v>5.0000000000000001E-3</v>
      </c>
      <c r="G43" s="553"/>
      <c r="H43" s="688">
        <v>0.04</v>
      </c>
      <c r="I43" s="588"/>
      <c r="J43" s="553"/>
      <c r="Q43" s="62"/>
      <c r="R43" s="95"/>
      <c r="T43" s="332"/>
      <c r="U43" s="10"/>
      <c r="V43" s="330"/>
    </row>
    <row r="44" spans="1:22" ht="15" customHeight="1" x14ac:dyDescent="0.3">
      <c r="A44" s="50">
        <v>41</v>
      </c>
      <c r="B44" s="588">
        <v>1.9E-2</v>
      </c>
      <c r="C44" s="588">
        <v>2.7199999999999998E-2</v>
      </c>
      <c r="D44" s="688">
        <v>2.7000000000000001E-3</v>
      </c>
      <c r="E44" s="588">
        <v>1.95E-2</v>
      </c>
      <c r="F44" s="588">
        <v>4.4999999999999997E-3</v>
      </c>
      <c r="G44" s="553"/>
      <c r="H44" s="688">
        <v>0.04</v>
      </c>
      <c r="I44" s="588"/>
      <c r="J44" s="553"/>
      <c r="T44" s="332"/>
      <c r="U44" s="10"/>
      <c r="V44" s="330"/>
    </row>
    <row r="45" spans="1:22" ht="15" customHeight="1" x14ac:dyDescent="0.3">
      <c r="A45" s="50">
        <v>42</v>
      </c>
      <c r="B45" s="588">
        <v>1.7999999999999999E-2</v>
      </c>
      <c r="C45" s="588">
        <v>2.64E-2</v>
      </c>
      <c r="D45" s="688">
        <v>2E-3</v>
      </c>
      <c r="E45" s="588">
        <v>1.9E-2</v>
      </c>
      <c r="F45" s="588">
        <v>4.0000000000000001E-3</v>
      </c>
      <c r="G45" s="553"/>
      <c r="H45" s="688">
        <v>0.04</v>
      </c>
      <c r="I45" s="588"/>
      <c r="J45" s="553"/>
      <c r="T45" s="332"/>
      <c r="U45" s="10"/>
      <c r="V45" s="330"/>
    </row>
    <row r="46" spans="1:22" ht="15" customHeight="1" x14ac:dyDescent="0.3">
      <c r="A46" s="50">
        <v>43</v>
      </c>
      <c r="B46" s="588">
        <v>1.7000000000000001E-2</v>
      </c>
      <c r="C46" s="588">
        <v>2.5600000000000001E-2</v>
      </c>
      <c r="D46" s="688">
        <v>1.2999999999999999E-3</v>
      </c>
      <c r="E46" s="588">
        <v>1.8499999999999999E-2</v>
      </c>
      <c r="F46" s="588">
        <v>3.5000000000000001E-3</v>
      </c>
      <c r="G46" s="553"/>
      <c r="H46" s="688">
        <v>0.04</v>
      </c>
      <c r="I46" s="588"/>
      <c r="J46" s="553"/>
      <c r="Q46" s="62"/>
      <c r="R46" s="95"/>
      <c r="T46" s="332"/>
      <c r="U46" s="10"/>
      <c r="V46" s="330"/>
    </row>
    <row r="47" spans="1:22" ht="15" customHeight="1" x14ac:dyDescent="0.3">
      <c r="A47" s="50">
        <v>44</v>
      </c>
      <c r="B47" s="588">
        <v>1.6E-2</v>
      </c>
      <c r="C47" s="588">
        <v>2.4799999999999999E-2</v>
      </c>
      <c r="D47" s="688">
        <v>6.9999999999999999E-4</v>
      </c>
      <c r="E47" s="588">
        <v>1.7999999999999999E-2</v>
      </c>
      <c r="F47" s="588">
        <v>3.0000000000000001E-3</v>
      </c>
      <c r="G47" s="553"/>
      <c r="H47" s="688">
        <v>0.04</v>
      </c>
      <c r="I47" s="588"/>
      <c r="J47" s="553"/>
      <c r="Q47" s="62"/>
      <c r="R47" s="95"/>
      <c r="T47" s="332"/>
      <c r="U47" s="10"/>
      <c r="V47" s="330"/>
    </row>
    <row r="48" spans="1:22" ht="15" customHeight="1" x14ac:dyDescent="0.3">
      <c r="A48" s="50">
        <v>45</v>
      </c>
      <c r="B48" s="588">
        <v>1.4999999999999999E-2</v>
      </c>
      <c r="C48" s="588">
        <v>2.4E-2</v>
      </c>
      <c r="D48" s="688">
        <v>0</v>
      </c>
      <c r="E48" s="588">
        <v>1.7500000000000002E-2</v>
      </c>
      <c r="F48" s="588">
        <v>2.5000000000000001E-3</v>
      </c>
      <c r="G48" s="553"/>
      <c r="H48" s="688">
        <v>0.02</v>
      </c>
      <c r="I48" s="588"/>
      <c r="J48" s="553"/>
      <c r="T48" s="332"/>
      <c r="U48" s="10"/>
      <c r="V48" s="330"/>
    </row>
    <row r="49" spans="1:22" ht="15" customHeight="1" x14ac:dyDescent="0.3">
      <c r="A49" s="50">
        <v>46</v>
      </c>
      <c r="B49" s="588">
        <v>1.4E-2</v>
      </c>
      <c r="C49" s="588">
        <v>2.3199999999999998E-2</v>
      </c>
      <c r="D49" s="553"/>
      <c r="E49" s="588">
        <v>1.7000000000000001E-2</v>
      </c>
      <c r="F49" s="588">
        <v>2E-3</v>
      </c>
      <c r="G49" s="553"/>
      <c r="H49" s="688">
        <v>0.02</v>
      </c>
      <c r="I49" s="588"/>
      <c r="J49" s="553"/>
      <c r="T49" s="332"/>
      <c r="U49" s="10"/>
      <c r="V49" s="330"/>
    </row>
    <row r="50" spans="1:22" ht="15" customHeight="1" x14ac:dyDescent="0.3">
      <c r="A50" s="50">
        <v>47</v>
      </c>
      <c r="B50" s="588">
        <v>1.2999999999999999E-2</v>
      </c>
      <c r="C50" s="588">
        <v>2.24E-2</v>
      </c>
      <c r="D50" s="553"/>
      <c r="E50" s="588">
        <v>1.6500000000000001E-2</v>
      </c>
      <c r="F50" s="588">
        <v>1.5E-3</v>
      </c>
      <c r="G50" s="553"/>
      <c r="H50" s="688">
        <v>0.02</v>
      </c>
      <c r="I50" s="588"/>
      <c r="J50" s="553"/>
      <c r="T50" s="332"/>
      <c r="U50" s="10"/>
      <c r="V50" s="330"/>
    </row>
    <row r="51" spans="1:22" ht="15" customHeight="1" x14ac:dyDescent="0.3">
      <c r="A51" s="50">
        <v>48</v>
      </c>
      <c r="B51" s="588">
        <v>1.2E-2</v>
      </c>
      <c r="C51" s="588">
        <v>2.1600000000000001E-2</v>
      </c>
      <c r="D51" s="553"/>
      <c r="E51" s="588">
        <v>1.6E-2</v>
      </c>
      <c r="F51" s="588">
        <v>1E-3</v>
      </c>
      <c r="G51" s="553"/>
      <c r="H51" s="688">
        <v>0.02</v>
      </c>
      <c r="I51" s="588"/>
      <c r="J51" s="553"/>
      <c r="Q51" s="62"/>
      <c r="R51" s="95"/>
      <c r="T51" s="332"/>
      <c r="U51" s="10"/>
      <c r="V51" s="330"/>
    </row>
    <row r="52" spans="1:22" ht="15" customHeight="1" x14ac:dyDescent="0.3">
      <c r="A52" s="50">
        <v>49</v>
      </c>
      <c r="B52" s="588">
        <v>1.0999999999999999E-2</v>
      </c>
      <c r="C52" s="588">
        <v>2.0799999999999999E-2</v>
      </c>
      <c r="D52" s="553"/>
      <c r="E52" s="588">
        <v>1.55E-2</v>
      </c>
      <c r="F52" s="588">
        <v>5.0000000000000001E-4</v>
      </c>
      <c r="G52" s="553"/>
      <c r="H52" s="688">
        <v>0.02</v>
      </c>
      <c r="I52" s="588"/>
      <c r="J52" s="553"/>
      <c r="Q52" s="62"/>
      <c r="R52" s="95"/>
      <c r="T52" s="332"/>
      <c r="U52" s="10"/>
      <c r="V52" s="330"/>
    </row>
    <row r="53" spans="1:22" ht="15" customHeight="1" x14ac:dyDescent="0.3">
      <c r="A53" s="50">
        <v>50</v>
      </c>
      <c r="B53" s="588">
        <v>0.01</v>
      </c>
      <c r="C53" s="588">
        <v>0.02</v>
      </c>
      <c r="D53" s="553"/>
      <c r="E53" s="588">
        <v>1.4999999999999999E-2</v>
      </c>
      <c r="F53" s="588">
        <v>0</v>
      </c>
      <c r="G53" s="553"/>
      <c r="H53" s="688">
        <v>0.02</v>
      </c>
      <c r="I53" s="588"/>
      <c r="J53" s="553"/>
      <c r="T53" s="332"/>
      <c r="U53" s="10"/>
      <c r="V53" s="330"/>
    </row>
    <row r="54" spans="1:22" ht="15" customHeight="1" x14ac:dyDescent="0.3">
      <c r="A54" s="50">
        <v>51</v>
      </c>
      <c r="B54" s="588">
        <v>8.9999999999999993E-3</v>
      </c>
      <c r="C54" s="588">
        <v>1.9199999999999998E-2</v>
      </c>
      <c r="D54" s="50"/>
      <c r="E54" s="588">
        <v>1.4500000000000001E-2</v>
      </c>
      <c r="F54" s="703"/>
      <c r="G54" s="50"/>
      <c r="H54" s="688">
        <v>0.02</v>
      </c>
      <c r="I54" s="588"/>
      <c r="J54" s="553"/>
      <c r="T54" s="332"/>
      <c r="U54" s="10"/>
      <c r="V54" s="330"/>
    </row>
    <row r="55" spans="1:22" ht="15" customHeight="1" x14ac:dyDescent="0.3">
      <c r="A55" s="50">
        <v>52</v>
      </c>
      <c r="B55" s="588">
        <v>8.0000000000000002E-3</v>
      </c>
      <c r="C55" s="588">
        <v>1.84E-2</v>
      </c>
      <c r="D55" s="50"/>
      <c r="E55" s="588">
        <v>1.4E-2</v>
      </c>
      <c r="F55" s="703"/>
      <c r="G55" s="50"/>
      <c r="H55" s="688">
        <v>0.02</v>
      </c>
      <c r="I55" s="588"/>
      <c r="J55" s="553"/>
      <c r="Q55" s="62"/>
      <c r="R55" s="95"/>
      <c r="T55" s="332"/>
      <c r="U55" s="10"/>
      <c r="V55" s="330"/>
    </row>
    <row r="56" spans="1:22" ht="15" customHeight="1" x14ac:dyDescent="0.3">
      <c r="A56" s="50">
        <v>53</v>
      </c>
      <c r="B56" s="588">
        <v>7.0000000000000001E-3</v>
      </c>
      <c r="C56" s="588">
        <v>1.7600000000000001E-2</v>
      </c>
      <c r="D56" s="50"/>
      <c r="E56" s="588">
        <v>1.35E-2</v>
      </c>
      <c r="F56" s="703"/>
      <c r="G56" s="50"/>
      <c r="H56" s="688">
        <v>0.02</v>
      </c>
      <c r="I56" s="588"/>
      <c r="J56" s="553"/>
      <c r="Q56" s="62"/>
      <c r="R56" s="95"/>
      <c r="T56" s="332"/>
      <c r="U56" s="10"/>
      <c r="V56" s="330"/>
    </row>
    <row r="57" spans="1:22" ht="15" customHeight="1" x14ac:dyDescent="0.3">
      <c r="A57" s="50">
        <v>54</v>
      </c>
      <c r="B57" s="588">
        <v>6.0000000000000001E-3</v>
      </c>
      <c r="C57" s="588">
        <v>1.6799999999999999E-2</v>
      </c>
      <c r="D57" s="50"/>
      <c r="E57" s="588">
        <v>1.2999999999999999E-2</v>
      </c>
      <c r="F57" s="703"/>
      <c r="G57" s="50"/>
      <c r="H57" s="688">
        <v>0.02</v>
      </c>
      <c r="I57" s="588"/>
      <c r="J57" s="553"/>
      <c r="T57" s="332"/>
      <c r="U57" s="10"/>
      <c r="V57" s="330"/>
    </row>
    <row r="58" spans="1:22" ht="15" customHeight="1" x14ac:dyDescent="0.3">
      <c r="A58" s="50">
        <v>55</v>
      </c>
      <c r="B58" s="588">
        <v>5.0000000000000001E-3</v>
      </c>
      <c r="C58" s="588">
        <v>1.6E-2</v>
      </c>
      <c r="D58" s="50"/>
      <c r="E58" s="588">
        <v>1.2500000000000001E-2</v>
      </c>
      <c r="F58" s="703"/>
      <c r="G58" s="50"/>
      <c r="H58" s="688">
        <v>0.02</v>
      </c>
      <c r="I58" s="588"/>
      <c r="J58" s="553"/>
      <c r="T58" s="332"/>
      <c r="U58" s="10"/>
      <c r="V58" s="330"/>
    </row>
    <row r="59" spans="1:22" ht="15" customHeight="1" x14ac:dyDescent="0.3">
      <c r="A59" s="50">
        <v>56</v>
      </c>
      <c r="B59" s="588">
        <v>4.0000000000000001E-3</v>
      </c>
      <c r="C59" s="588">
        <v>1.52E-2</v>
      </c>
      <c r="D59" s="50"/>
      <c r="E59" s="588">
        <v>1.2E-2</v>
      </c>
      <c r="F59" s="703"/>
      <c r="G59" s="50"/>
      <c r="H59" s="688">
        <v>0.02</v>
      </c>
      <c r="I59" s="588"/>
      <c r="J59" s="553"/>
      <c r="Q59" s="62"/>
      <c r="R59" s="95"/>
      <c r="T59" s="332"/>
      <c r="U59" s="10"/>
      <c r="V59" s="330"/>
    </row>
    <row r="60" spans="1:22" ht="15" customHeight="1" x14ac:dyDescent="0.3">
      <c r="A60" s="50">
        <v>57</v>
      </c>
      <c r="B60" s="588">
        <v>3.0000000000000001E-3</v>
      </c>
      <c r="C60" s="588">
        <v>1.44E-2</v>
      </c>
      <c r="D60" s="50"/>
      <c r="E60" s="588">
        <v>1.15E-2</v>
      </c>
      <c r="F60" s="703"/>
      <c r="G60" s="50"/>
      <c r="H60" s="688">
        <v>0.02</v>
      </c>
      <c r="I60" s="588"/>
      <c r="J60" s="553"/>
      <c r="Q60" s="62"/>
      <c r="R60" s="95"/>
      <c r="T60" s="332"/>
      <c r="U60" s="10"/>
      <c r="V60" s="330"/>
    </row>
    <row r="61" spans="1:22" ht="15" customHeight="1" x14ac:dyDescent="0.3">
      <c r="A61" s="50">
        <v>58</v>
      </c>
      <c r="B61" s="588">
        <v>2E-3</v>
      </c>
      <c r="C61" s="588">
        <v>1.3599999999999999E-2</v>
      </c>
      <c r="D61" s="50"/>
      <c r="E61" s="588">
        <v>1.0999999999999999E-2</v>
      </c>
      <c r="F61" s="703"/>
      <c r="G61" s="50"/>
      <c r="H61" s="688">
        <v>0.02</v>
      </c>
      <c r="I61" s="588"/>
      <c r="J61" s="553"/>
      <c r="T61" s="332"/>
      <c r="U61" s="10"/>
      <c r="V61" s="330"/>
    </row>
    <row r="62" spans="1:22" ht="15" customHeight="1" x14ac:dyDescent="0.3">
      <c r="A62" s="50">
        <v>59</v>
      </c>
      <c r="B62" s="588">
        <v>1E-3</v>
      </c>
      <c r="C62" s="588">
        <v>1.2800000000000001E-2</v>
      </c>
      <c r="D62" s="50"/>
      <c r="E62" s="588">
        <v>1.0500000000000001E-2</v>
      </c>
      <c r="F62" s="703"/>
      <c r="G62" s="50"/>
      <c r="H62" s="688">
        <v>0.02</v>
      </c>
      <c r="I62" s="588"/>
      <c r="J62" s="553"/>
      <c r="T62" s="332"/>
      <c r="U62" s="10"/>
      <c r="V62" s="330"/>
    </row>
    <row r="63" spans="1:22" ht="15" customHeight="1" x14ac:dyDescent="0.3">
      <c r="A63" s="50">
        <v>60</v>
      </c>
      <c r="B63" s="588">
        <v>0</v>
      </c>
      <c r="C63" s="588">
        <v>1.2E-2</v>
      </c>
      <c r="D63" s="50"/>
      <c r="E63" s="588">
        <v>0.01</v>
      </c>
      <c r="F63" s="703"/>
      <c r="G63" s="50"/>
      <c r="H63" s="688">
        <v>0</v>
      </c>
      <c r="I63" s="588"/>
      <c r="J63" s="553"/>
      <c r="T63" s="332"/>
      <c r="U63" s="10"/>
      <c r="V63" s="330"/>
    </row>
    <row r="64" spans="1:22" ht="15" customHeight="1" x14ac:dyDescent="0.3">
      <c r="A64" s="50">
        <v>61</v>
      </c>
      <c r="B64" s="553"/>
      <c r="C64" s="588">
        <v>1.12E-2</v>
      </c>
      <c r="D64" s="50"/>
      <c r="E64" s="588">
        <v>9.4999999999999998E-3</v>
      </c>
      <c r="F64" s="50"/>
      <c r="G64" s="50"/>
      <c r="H64" s="588"/>
      <c r="I64" s="588"/>
      <c r="J64" s="553"/>
      <c r="Q64" s="62"/>
      <c r="R64" s="95"/>
      <c r="T64" s="332"/>
    </row>
    <row r="65" spans="1:20" ht="15" customHeight="1" x14ac:dyDescent="0.3">
      <c r="A65" s="50">
        <v>62</v>
      </c>
      <c r="B65" s="553"/>
      <c r="C65" s="588">
        <v>1.04E-2</v>
      </c>
      <c r="D65" s="50"/>
      <c r="E65" s="588">
        <v>8.9999999999999993E-3</v>
      </c>
      <c r="F65" s="50"/>
      <c r="G65" s="50"/>
      <c r="H65" s="588"/>
      <c r="I65" s="588"/>
      <c r="J65" s="553"/>
      <c r="Q65" s="62"/>
      <c r="R65" s="95"/>
      <c r="T65" s="332"/>
    </row>
    <row r="66" spans="1:20" ht="15" customHeight="1" x14ac:dyDescent="0.3">
      <c r="A66" s="50">
        <v>63</v>
      </c>
      <c r="B66" s="553"/>
      <c r="C66" s="588">
        <v>9.5999999999999992E-3</v>
      </c>
      <c r="D66" s="50"/>
      <c r="E66" s="588">
        <v>8.5000000000000006E-3</v>
      </c>
      <c r="F66" s="50"/>
      <c r="G66" s="50"/>
      <c r="H66" s="588"/>
      <c r="I66" s="588"/>
      <c r="J66" s="553"/>
      <c r="T66" s="332"/>
    </row>
    <row r="67" spans="1:20" ht="15" customHeight="1" x14ac:dyDescent="0.3">
      <c r="A67" s="50">
        <v>64</v>
      </c>
      <c r="B67" s="553"/>
      <c r="C67" s="588">
        <v>8.8000000000000005E-3</v>
      </c>
      <c r="D67" s="50"/>
      <c r="E67" s="588">
        <v>8.0000000000000002E-3</v>
      </c>
      <c r="F67" s="50"/>
      <c r="G67" s="50"/>
      <c r="H67" s="588"/>
      <c r="I67" s="588"/>
      <c r="J67" s="553"/>
      <c r="T67" s="332"/>
    </row>
    <row r="68" spans="1:20" ht="15" customHeight="1" x14ac:dyDescent="0.3">
      <c r="A68" s="50">
        <v>65</v>
      </c>
      <c r="B68" s="553"/>
      <c r="C68" s="588">
        <v>8.0000000000000002E-3</v>
      </c>
      <c r="D68" s="50"/>
      <c r="E68" s="688">
        <v>7.4999999999999997E-3</v>
      </c>
      <c r="F68" s="50"/>
      <c r="G68" s="50"/>
      <c r="H68" s="588"/>
      <c r="I68" s="588"/>
      <c r="J68" s="553"/>
      <c r="T68" s="332"/>
    </row>
    <row r="69" spans="1:20" ht="15" customHeight="1" x14ac:dyDescent="0.3">
      <c r="A69" s="50">
        <v>66</v>
      </c>
      <c r="B69" s="553"/>
      <c r="C69" s="588">
        <v>7.1999999999999998E-3</v>
      </c>
      <c r="D69" s="50"/>
      <c r="E69" s="688">
        <v>7.0000000000000001E-3</v>
      </c>
      <c r="F69" s="50"/>
      <c r="G69" s="50"/>
      <c r="H69" s="588"/>
      <c r="I69" s="588"/>
      <c r="J69" s="553"/>
      <c r="T69" s="332"/>
    </row>
    <row r="70" spans="1:20" ht="15" customHeight="1" x14ac:dyDescent="0.3">
      <c r="A70" s="50">
        <v>67</v>
      </c>
      <c r="B70" s="553"/>
      <c r="C70" s="588">
        <v>6.4000000000000003E-3</v>
      </c>
      <c r="D70" s="50"/>
      <c r="E70" s="688">
        <v>6.4999999999999997E-3</v>
      </c>
      <c r="F70" s="50"/>
      <c r="G70" s="50"/>
      <c r="H70" s="588"/>
      <c r="I70" s="588"/>
      <c r="J70" s="553"/>
      <c r="Q70" s="62"/>
      <c r="R70" s="95"/>
      <c r="T70" s="332"/>
    </row>
    <row r="71" spans="1:20" ht="15" customHeight="1" x14ac:dyDescent="0.3">
      <c r="A71" s="50">
        <v>68</v>
      </c>
      <c r="B71" s="553"/>
      <c r="C71" s="588">
        <v>5.5999999999999999E-3</v>
      </c>
      <c r="D71" s="50"/>
      <c r="E71" s="688">
        <v>6.0000000000000001E-3</v>
      </c>
      <c r="F71" s="50"/>
      <c r="G71" s="50"/>
      <c r="H71" s="588"/>
      <c r="I71" s="588"/>
      <c r="J71" s="553"/>
      <c r="T71" s="332"/>
    </row>
    <row r="72" spans="1:20" ht="15" customHeight="1" x14ac:dyDescent="0.3">
      <c r="A72" s="50">
        <v>69</v>
      </c>
      <c r="B72" s="553"/>
      <c r="C72" s="588">
        <v>4.7999999999999996E-3</v>
      </c>
      <c r="D72" s="50"/>
      <c r="E72" s="688">
        <v>5.4999999999999997E-3</v>
      </c>
      <c r="F72" s="50"/>
      <c r="G72" s="50"/>
      <c r="H72" s="588"/>
      <c r="I72" s="588"/>
      <c r="J72" s="553"/>
      <c r="Q72" s="62"/>
      <c r="R72" s="95"/>
      <c r="T72" s="332"/>
    </row>
    <row r="73" spans="1:20" ht="15" customHeight="1" x14ac:dyDescent="0.3">
      <c r="A73" s="50">
        <v>70</v>
      </c>
      <c r="B73" s="553"/>
      <c r="C73" s="588">
        <v>4.0000000000000001E-3</v>
      </c>
      <c r="D73" s="50"/>
      <c r="E73" s="688">
        <v>5.0000000000000001E-3</v>
      </c>
      <c r="F73" s="50"/>
      <c r="G73" s="50"/>
      <c r="H73" s="588"/>
      <c r="I73" s="588"/>
      <c r="J73" s="553"/>
      <c r="T73" s="332"/>
    </row>
    <row r="74" spans="1:20" ht="15" customHeight="1" x14ac:dyDescent="0.3">
      <c r="A74" s="50">
        <v>71</v>
      </c>
      <c r="B74" s="553"/>
      <c r="C74" s="588">
        <v>3.2000000000000002E-3</v>
      </c>
      <c r="D74" s="50"/>
      <c r="E74" s="688">
        <v>4.4999999999999997E-3</v>
      </c>
      <c r="F74" s="703"/>
      <c r="G74" s="50"/>
      <c r="H74" s="588"/>
      <c r="I74" s="588"/>
      <c r="J74" s="553"/>
      <c r="Q74" s="62"/>
      <c r="R74" s="95"/>
      <c r="T74" s="332"/>
    </row>
    <row r="75" spans="1:20" ht="15" customHeight="1" x14ac:dyDescent="0.3">
      <c r="A75" s="50">
        <v>72</v>
      </c>
      <c r="B75" s="553"/>
      <c r="C75" s="588">
        <v>2.3999999999999998E-3</v>
      </c>
      <c r="D75" s="50"/>
      <c r="E75" s="688">
        <v>4.0000000000000001E-3</v>
      </c>
      <c r="F75" s="703"/>
      <c r="G75" s="50"/>
      <c r="H75" s="588"/>
      <c r="I75" s="588"/>
      <c r="J75" s="553"/>
      <c r="T75" s="332"/>
    </row>
    <row r="76" spans="1:20" ht="15" customHeight="1" x14ac:dyDescent="0.3">
      <c r="A76" s="50">
        <v>73</v>
      </c>
      <c r="B76" s="553"/>
      <c r="C76" s="588">
        <v>1.6000000000000001E-3</v>
      </c>
      <c r="D76" s="50"/>
      <c r="E76" s="688">
        <v>3.5000000000000001E-3</v>
      </c>
      <c r="F76" s="703"/>
      <c r="G76" s="50"/>
      <c r="H76" s="588"/>
      <c r="I76" s="588"/>
      <c r="J76" s="553"/>
      <c r="Q76" s="62"/>
      <c r="R76" s="95"/>
      <c r="T76" s="332"/>
    </row>
    <row r="77" spans="1:20" ht="15" customHeight="1" x14ac:dyDescent="0.3">
      <c r="A77" s="50">
        <v>74</v>
      </c>
      <c r="B77" s="553"/>
      <c r="C77" s="588">
        <v>8.0000000000000004E-4</v>
      </c>
      <c r="D77" s="50"/>
      <c r="E77" s="688">
        <v>3.0000000000000001E-3</v>
      </c>
      <c r="F77" s="703"/>
      <c r="G77" s="50"/>
      <c r="H77" s="588"/>
      <c r="I77" s="588"/>
      <c r="J77" s="553"/>
      <c r="T77" s="332"/>
    </row>
    <row r="78" spans="1:20" ht="15" customHeight="1" x14ac:dyDescent="0.3">
      <c r="A78" s="50">
        <v>75</v>
      </c>
      <c r="B78" s="553"/>
      <c r="C78" s="588">
        <v>0</v>
      </c>
      <c r="D78" s="50"/>
      <c r="E78" s="688">
        <v>2.5000000000000001E-3</v>
      </c>
      <c r="F78" s="703"/>
      <c r="G78" s="50"/>
      <c r="H78" s="588"/>
      <c r="I78" s="588"/>
      <c r="J78" s="553"/>
      <c r="T78" s="332"/>
    </row>
    <row r="79" spans="1:20" ht="15" customHeight="1" x14ac:dyDescent="0.3">
      <c r="A79" s="50">
        <v>76</v>
      </c>
      <c r="B79" s="553"/>
      <c r="C79" s="553"/>
      <c r="D79" s="50"/>
      <c r="E79" s="588">
        <v>2E-3</v>
      </c>
      <c r="F79" s="703"/>
      <c r="G79" s="50"/>
      <c r="H79" s="588"/>
      <c r="I79" s="588"/>
      <c r="J79" s="553"/>
      <c r="T79" s="332"/>
    </row>
    <row r="80" spans="1:20" ht="15" customHeight="1" x14ac:dyDescent="0.3">
      <c r="A80" s="50">
        <v>77</v>
      </c>
      <c r="B80" s="553"/>
      <c r="C80" s="553"/>
      <c r="D80" s="50"/>
      <c r="E80" s="588">
        <v>1.5E-3</v>
      </c>
      <c r="F80" s="703"/>
      <c r="G80" s="50"/>
      <c r="H80" s="588"/>
      <c r="I80" s="588"/>
      <c r="J80" s="553"/>
      <c r="K80" s="99"/>
      <c r="Q80" s="62"/>
      <c r="R80" s="95"/>
      <c r="T80" s="332"/>
    </row>
    <row r="81" spans="1:20" ht="15" customHeight="1" x14ac:dyDescent="0.3">
      <c r="A81" s="50">
        <v>78</v>
      </c>
      <c r="B81" s="553"/>
      <c r="C81" s="553"/>
      <c r="D81" s="50"/>
      <c r="E81" s="588">
        <v>1E-3</v>
      </c>
      <c r="F81" s="703"/>
      <c r="G81" s="50"/>
      <c r="H81" s="611"/>
      <c r="I81" s="588"/>
      <c r="J81" s="553"/>
      <c r="K81" s="99"/>
      <c r="T81" s="332"/>
    </row>
    <row r="82" spans="1:20" ht="15" customHeight="1" x14ac:dyDescent="0.3">
      <c r="A82" s="50">
        <v>79</v>
      </c>
      <c r="B82" s="553"/>
      <c r="C82" s="553"/>
      <c r="D82" s="50"/>
      <c r="E82" s="588">
        <v>5.0000000000000001E-4</v>
      </c>
      <c r="F82" s="703"/>
      <c r="G82" s="50"/>
      <c r="H82" s="588"/>
      <c r="I82" s="588"/>
      <c r="J82" s="553"/>
      <c r="K82" s="99"/>
      <c r="Q82" s="62"/>
      <c r="R82" s="95"/>
      <c r="T82" s="332"/>
    </row>
    <row r="83" spans="1:20" ht="15" customHeight="1" x14ac:dyDescent="0.3">
      <c r="A83" s="50">
        <v>80</v>
      </c>
      <c r="B83" s="553"/>
      <c r="C83" s="553"/>
      <c r="D83" s="50"/>
      <c r="E83" s="588">
        <v>0</v>
      </c>
      <c r="F83" s="703"/>
      <c r="G83" s="50"/>
      <c r="H83" s="588"/>
      <c r="I83" s="588"/>
      <c r="J83" s="553"/>
      <c r="K83" s="99"/>
      <c r="T83" s="332"/>
    </row>
    <row r="84" spans="1:20" ht="15" customHeight="1" x14ac:dyDescent="0.3">
      <c r="B84" s="96"/>
      <c r="C84" s="96"/>
      <c r="E84" s="96"/>
      <c r="F84" s="332"/>
      <c r="J84" s="96"/>
      <c r="K84" s="99"/>
      <c r="Q84" s="62"/>
      <c r="R84" s="95"/>
    </row>
    <row r="85" spans="1:20" ht="15" customHeight="1" x14ac:dyDescent="0.3">
      <c r="B85" s="96"/>
      <c r="C85" s="96"/>
      <c r="E85" s="96"/>
      <c r="F85" s="332"/>
      <c r="J85" s="96"/>
      <c r="K85" s="99"/>
    </row>
    <row r="86" spans="1:20" ht="15" customHeight="1" x14ac:dyDescent="0.3">
      <c r="B86" s="96"/>
      <c r="C86" s="96"/>
      <c r="E86" s="96"/>
      <c r="F86" s="332"/>
      <c r="J86" s="96"/>
      <c r="K86" s="99"/>
      <c r="Q86" s="62"/>
      <c r="R86" s="95"/>
    </row>
    <row r="87" spans="1:20" ht="15" customHeight="1" x14ac:dyDescent="0.3">
      <c r="B87" s="96"/>
      <c r="C87" s="96"/>
      <c r="E87" s="96"/>
      <c r="F87" s="332"/>
      <c r="J87" s="96"/>
      <c r="K87" s="99"/>
    </row>
    <row r="88" spans="1:20" ht="15" customHeight="1" x14ac:dyDescent="0.3">
      <c r="B88" s="96"/>
      <c r="C88" s="96"/>
      <c r="E88" s="96"/>
      <c r="F88" s="332"/>
      <c r="J88" s="96"/>
    </row>
    <row r="89" spans="1:20" ht="15" customHeight="1" x14ac:dyDescent="0.3">
      <c r="B89" s="96"/>
      <c r="C89" s="96"/>
      <c r="E89" s="96"/>
      <c r="F89" s="332"/>
      <c r="J89" s="96"/>
    </row>
    <row r="90" spans="1:20" ht="15" customHeight="1" x14ac:dyDescent="0.3">
      <c r="B90" s="96"/>
      <c r="C90" s="96"/>
      <c r="E90" s="96"/>
      <c r="F90" s="332"/>
      <c r="J90" s="96"/>
    </row>
    <row r="91" spans="1:20" ht="15" customHeight="1" x14ac:dyDescent="0.3">
      <c r="B91" s="96"/>
      <c r="C91" s="96"/>
      <c r="E91" s="96"/>
      <c r="F91" s="332"/>
      <c r="J91" s="96"/>
    </row>
    <row r="92" spans="1:20" ht="15" customHeight="1" x14ac:dyDescent="0.3">
      <c r="B92" s="96"/>
      <c r="C92" s="96"/>
      <c r="E92" s="96"/>
      <c r="F92" s="332"/>
      <c r="J92" s="96"/>
    </row>
    <row r="93" spans="1:20" ht="15" customHeight="1" x14ac:dyDescent="0.3">
      <c r="B93" s="96"/>
      <c r="C93" s="96"/>
      <c r="E93" s="96"/>
      <c r="F93" s="332"/>
      <c r="J93" s="96"/>
    </row>
    <row r="94" spans="1:20" ht="15" customHeight="1" x14ac:dyDescent="0.3">
      <c r="B94" s="96"/>
      <c r="C94" s="96"/>
      <c r="E94" s="96"/>
      <c r="F94" s="39"/>
    </row>
    <row r="95" spans="1:20" ht="15" customHeight="1" x14ac:dyDescent="0.3">
      <c r="B95" s="96"/>
      <c r="C95" s="96"/>
      <c r="E95" s="96"/>
    </row>
    <row r="96" spans="1:20" ht="15" customHeight="1" x14ac:dyDescent="0.3">
      <c r="B96" s="96"/>
      <c r="C96" s="96"/>
      <c r="E96" s="96"/>
    </row>
    <row r="97" spans="2:8" ht="15" customHeight="1" x14ac:dyDescent="0.3">
      <c r="B97" s="96"/>
      <c r="C97" s="96"/>
      <c r="E97" s="96"/>
    </row>
    <row r="98" spans="2:8" ht="15" customHeight="1" x14ac:dyDescent="0.3">
      <c r="B98" s="96"/>
      <c r="C98" s="96"/>
      <c r="E98" s="96"/>
    </row>
    <row r="99" spans="2:8" ht="15" customHeight="1" x14ac:dyDescent="0.3">
      <c r="B99" s="96"/>
      <c r="C99" s="96"/>
      <c r="E99" s="96"/>
    </row>
    <row r="100" spans="2:8" ht="15" customHeight="1" x14ac:dyDescent="0.3">
      <c r="B100" s="96"/>
      <c r="C100" s="96"/>
      <c r="E100" s="96"/>
    </row>
    <row r="101" spans="2:8" ht="15" customHeight="1" x14ac:dyDescent="0.3">
      <c r="B101" s="96"/>
      <c r="C101" s="96"/>
      <c r="E101" s="96"/>
    </row>
    <row r="102" spans="2:8" ht="15" customHeight="1" x14ac:dyDescent="0.3">
      <c r="B102" s="96"/>
      <c r="C102" s="96"/>
      <c r="E102" s="96"/>
    </row>
    <row r="103" spans="2:8" ht="15" customHeight="1" x14ac:dyDescent="0.3">
      <c r="B103" s="96"/>
      <c r="C103" s="96"/>
      <c r="E103" s="96"/>
      <c r="H103" s="100"/>
    </row>
    <row r="104" spans="2:8" ht="15" customHeight="1" x14ac:dyDescent="0.3">
      <c r="B104" s="96"/>
      <c r="C104" s="96"/>
      <c r="E104" s="96"/>
      <c r="F104" s="332"/>
    </row>
    <row r="105" spans="2:8" ht="15" customHeight="1" x14ac:dyDescent="0.3">
      <c r="B105" s="96"/>
      <c r="C105" s="96"/>
      <c r="E105" s="96"/>
      <c r="F105" s="332"/>
    </row>
    <row r="106" spans="2:8" ht="15" customHeight="1" x14ac:dyDescent="0.3">
      <c r="B106" s="96"/>
      <c r="C106" s="96"/>
      <c r="E106" s="96"/>
      <c r="F106" s="332"/>
    </row>
    <row r="107" spans="2:8" ht="15" customHeight="1" x14ac:dyDescent="0.3">
      <c r="B107" s="96"/>
      <c r="C107" s="96"/>
      <c r="E107" s="96"/>
      <c r="F107" s="332"/>
    </row>
    <row r="108" spans="2:8" ht="15" customHeight="1" x14ac:dyDescent="0.3">
      <c r="B108" s="96"/>
      <c r="C108" s="96"/>
      <c r="E108" s="96"/>
      <c r="F108" s="332"/>
    </row>
    <row r="109" spans="2:8" ht="15" customHeight="1" x14ac:dyDescent="0.3">
      <c r="B109" s="96"/>
      <c r="C109" s="96"/>
      <c r="E109" s="96"/>
      <c r="F109" s="332"/>
    </row>
    <row r="110" spans="2:8" ht="15" customHeight="1" x14ac:dyDescent="0.3">
      <c r="B110" s="96"/>
      <c r="C110" s="96"/>
      <c r="E110" s="96"/>
      <c r="F110" s="332"/>
    </row>
    <row r="111" spans="2:8" ht="15" customHeight="1" x14ac:dyDescent="0.3">
      <c r="B111" s="96"/>
      <c r="C111" s="96"/>
      <c r="E111" s="96"/>
      <c r="F111" s="332"/>
    </row>
    <row r="112" spans="2:8" ht="15" customHeight="1" x14ac:dyDescent="0.3">
      <c r="B112" s="96"/>
      <c r="C112" s="96"/>
      <c r="E112" s="96"/>
      <c r="F112" s="332"/>
    </row>
    <row r="113" spans="2:6" ht="15" customHeight="1" x14ac:dyDescent="0.3">
      <c r="B113" s="96"/>
      <c r="C113" s="94"/>
      <c r="E113" s="96"/>
      <c r="F113" s="332"/>
    </row>
    <row r="114" spans="2:6" ht="15" customHeight="1" x14ac:dyDescent="0.3">
      <c r="B114" s="96"/>
      <c r="C114" s="94"/>
      <c r="E114" s="96"/>
    </row>
    <row r="115" spans="2:6" ht="15" customHeight="1" x14ac:dyDescent="0.3">
      <c r="B115" s="96"/>
      <c r="C115" s="94"/>
      <c r="E115" s="96"/>
    </row>
    <row r="116" spans="2:6" ht="15" customHeight="1" x14ac:dyDescent="0.3">
      <c r="B116" s="96"/>
      <c r="C116" s="94"/>
      <c r="E116" s="96"/>
    </row>
    <row r="117" spans="2:6" ht="15" customHeight="1" x14ac:dyDescent="0.3">
      <c r="B117" s="96"/>
      <c r="C117" s="94"/>
      <c r="E117" s="96"/>
    </row>
    <row r="118" spans="2:6" ht="15" customHeight="1" x14ac:dyDescent="0.3">
      <c r="B118" s="96"/>
      <c r="C118" s="94"/>
      <c r="E118" s="96"/>
    </row>
    <row r="119" spans="2:6" ht="15" customHeight="1" x14ac:dyDescent="0.3">
      <c r="B119" s="96"/>
      <c r="C119" s="94"/>
      <c r="E119" s="96"/>
    </row>
    <row r="120" spans="2:6" ht="15" customHeight="1" x14ac:dyDescent="0.3">
      <c r="B120" s="96"/>
      <c r="C120" s="94"/>
      <c r="E120" s="96"/>
    </row>
    <row r="121" spans="2:6" ht="15" customHeight="1" x14ac:dyDescent="0.3">
      <c r="B121" s="96"/>
      <c r="C121" s="94"/>
      <c r="E121" s="96"/>
    </row>
    <row r="122" spans="2:6" ht="15" customHeight="1" x14ac:dyDescent="0.3">
      <c r="B122" s="96"/>
      <c r="C122" s="94"/>
      <c r="E122" s="96"/>
    </row>
    <row r="123" spans="2:6" ht="15" customHeight="1" x14ac:dyDescent="0.3">
      <c r="B123" s="96"/>
      <c r="C123" s="94"/>
      <c r="E123" s="96"/>
    </row>
    <row r="124" spans="2:6" ht="15" customHeight="1" x14ac:dyDescent="0.3">
      <c r="B124" s="96"/>
      <c r="C124" s="94"/>
      <c r="E124" s="96"/>
    </row>
    <row r="125" spans="2:6" ht="15" customHeight="1" x14ac:dyDescent="0.3">
      <c r="B125" s="96"/>
      <c r="C125" s="94"/>
      <c r="E125" s="96"/>
    </row>
    <row r="126" spans="2:6" ht="15" customHeight="1" x14ac:dyDescent="0.3">
      <c r="B126" s="96"/>
      <c r="C126" s="94"/>
      <c r="E126" s="96"/>
    </row>
    <row r="127" spans="2:6" ht="15" customHeight="1" x14ac:dyDescent="0.3">
      <c r="B127" s="96"/>
      <c r="C127" s="94"/>
      <c r="E127" s="96"/>
    </row>
    <row r="128" spans="2:6" ht="15" customHeight="1" x14ac:dyDescent="0.3">
      <c r="B128" s="96"/>
      <c r="C128" s="94"/>
      <c r="E128" s="96"/>
    </row>
    <row r="129" spans="2:6" ht="15" customHeight="1" x14ac:dyDescent="0.3">
      <c r="B129" s="96"/>
      <c r="C129" s="94"/>
      <c r="E129" s="96"/>
    </row>
    <row r="130" spans="2:6" ht="15" customHeight="1" x14ac:dyDescent="0.3">
      <c r="B130" s="96"/>
      <c r="C130" s="94"/>
      <c r="E130" s="96"/>
    </row>
    <row r="131" spans="2:6" ht="15" customHeight="1" x14ac:dyDescent="0.3">
      <c r="B131" s="96"/>
      <c r="C131" s="94"/>
      <c r="E131" s="96"/>
    </row>
    <row r="132" spans="2:6" ht="15" customHeight="1" x14ac:dyDescent="0.3">
      <c r="B132" s="96"/>
      <c r="C132" s="94"/>
      <c r="E132" s="96"/>
    </row>
    <row r="133" spans="2:6" ht="15" customHeight="1" x14ac:dyDescent="0.3">
      <c r="B133" s="96"/>
      <c r="C133" s="94"/>
      <c r="E133" s="96"/>
    </row>
    <row r="134" spans="2:6" ht="15" customHeight="1" x14ac:dyDescent="0.3">
      <c r="B134" s="96"/>
      <c r="C134" s="94"/>
      <c r="E134" s="96"/>
    </row>
    <row r="135" spans="2:6" ht="15" customHeight="1" x14ac:dyDescent="0.3">
      <c r="B135" s="96"/>
      <c r="C135" s="94"/>
      <c r="E135" s="96"/>
    </row>
    <row r="136" spans="2:6" ht="15" customHeight="1" x14ac:dyDescent="0.3">
      <c r="B136" s="96"/>
      <c r="C136" s="94"/>
      <c r="E136" s="96"/>
    </row>
    <row r="137" spans="2:6" ht="15" customHeight="1" x14ac:dyDescent="0.3">
      <c r="B137" s="96"/>
      <c r="C137" s="94"/>
      <c r="E137" s="96"/>
    </row>
    <row r="138" spans="2:6" ht="15" customHeight="1" x14ac:dyDescent="0.3">
      <c r="B138" s="96"/>
      <c r="C138" s="94"/>
      <c r="E138" s="96"/>
    </row>
    <row r="139" spans="2:6" ht="15" customHeight="1" x14ac:dyDescent="0.3">
      <c r="B139" s="96"/>
      <c r="C139" s="94"/>
      <c r="E139" s="96"/>
    </row>
    <row r="140" spans="2:6" ht="15" customHeight="1" x14ac:dyDescent="0.3">
      <c r="B140" s="96"/>
      <c r="C140" s="94"/>
      <c r="E140" s="96"/>
    </row>
    <row r="141" spans="2:6" ht="15" customHeight="1" x14ac:dyDescent="0.3">
      <c r="B141" s="96"/>
      <c r="C141" s="94"/>
      <c r="E141" s="96"/>
    </row>
    <row r="142" spans="2:6" ht="15" customHeight="1" x14ac:dyDescent="0.3">
      <c r="B142" s="96"/>
      <c r="C142" s="94"/>
      <c r="E142" s="96"/>
    </row>
    <row r="143" spans="2:6" ht="15" customHeight="1" x14ac:dyDescent="0.3">
      <c r="B143" s="96"/>
      <c r="C143" s="94"/>
      <c r="E143" s="96"/>
    </row>
    <row r="144" spans="2:6" ht="15" customHeight="1" x14ac:dyDescent="0.3">
      <c r="B144" s="96"/>
      <c r="C144" s="94"/>
      <c r="E144" s="96"/>
      <c r="F144" s="332"/>
    </row>
    <row r="145" spans="2:18" ht="15" customHeight="1" x14ac:dyDescent="0.3">
      <c r="B145" s="96"/>
      <c r="C145" s="94"/>
      <c r="E145" s="96"/>
      <c r="F145" s="332"/>
    </row>
    <row r="146" spans="2:18" ht="15" customHeight="1" x14ac:dyDescent="0.3">
      <c r="B146" s="96"/>
      <c r="C146" s="94"/>
      <c r="E146" s="96"/>
      <c r="F146" s="332"/>
    </row>
    <row r="147" spans="2:18" ht="15" customHeight="1" x14ac:dyDescent="0.3">
      <c r="B147" s="96"/>
      <c r="C147" s="94"/>
      <c r="E147" s="96"/>
      <c r="F147" s="332"/>
    </row>
    <row r="148" spans="2:18" ht="15" customHeight="1" x14ac:dyDescent="0.3">
      <c r="B148" s="96"/>
      <c r="C148" s="94"/>
      <c r="E148" s="96"/>
      <c r="F148" s="332"/>
    </row>
    <row r="149" spans="2:18" ht="15" customHeight="1" x14ac:dyDescent="0.3">
      <c r="B149" s="96"/>
      <c r="C149" s="94"/>
      <c r="E149" s="96"/>
      <c r="F149" s="332"/>
      <c r="Q149" s="62"/>
      <c r="R149" s="62"/>
    </row>
    <row r="150" spans="2:18" ht="15" customHeight="1" x14ac:dyDescent="0.3">
      <c r="B150" s="96"/>
      <c r="C150" s="94"/>
      <c r="E150" s="96"/>
      <c r="F150" s="332"/>
      <c r="K150" s="99"/>
      <c r="Q150" s="62"/>
      <c r="R150" s="95"/>
    </row>
    <row r="151" spans="2:18" ht="15" customHeight="1" x14ac:dyDescent="0.3">
      <c r="B151" s="96"/>
      <c r="C151" s="94"/>
      <c r="E151" s="96"/>
      <c r="F151" s="332"/>
      <c r="K151" s="99"/>
      <c r="Q151" s="62"/>
      <c r="R151" s="95"/>
    </row>
    <row r="152" spans="2:18" ht="15" customHeight="1" x14ac:dyDescent="0.3">
      <c r="B152" s="96"/>
      <c r="C152" s="94"/>
      <c r="E152" s="96"/>
      <c r="F152" s="332"/>
    </row>
    <row r="153" spans="2:18" ht="15" customHeight="1" x14ac:dyDescent="0.3">
      <c r="B153" s="96"/>
      <c r="C153" s="94"/>
      <c r="E153" s="96"/>
      <c r="F153" s="332"/>
    </row>
    <row r="154" spans="2:18" x14ac:dyDescent="0.3">
      <c r="B154" s="96"/>
      <c r="C154" s="96"/>
      <c r="E154" s="96"/>
    </row>
    <row r="155" spans="2:18" x14ac:dyDescent="0.3">
      <c r="B155" s="96"/>
      <c r="C155" s="96"/>
      <c r="E155" s="96"/>
    </row>
    <row r="156" spans="2:18" x14ac:dyDescent="0.3">
      <c r="B156" s="96"/>
      <c r="C156" s="96"/>
      <c r="E156" s="96"/>
    </row>
    <row r="157" spans="2:18" x14ac:dyDescent="0.3">
      <c r="B157" s="96"/>
      <c r="C157" s="96"/>
      <c r="E157" s="96"/>
    </row>
    <row r="158" spans="2:18" x14ac:dyDescent="0.3">
      <c r="B158" s="96"/>
      <c r="C158" s="96"/>
      <c r="E158" s="96"/>
    </row>
    <row r="159" spans="2:18" x14ac:dyDescent="0.3">
      <c r="B159" s="96"/>
      <c r="C159" s="96"/>
      <c r="E159" s="96"/>
    </row>
    <row r="160" spans="2:18" x14ac:dyDescent="0.3">
      <c r="B160" s="96"/>
      <c r="C160" s="96"/>
      <c r="E160" s="96"/>
    </row>
    <row r="161" spans="2:5" x14ac:dyDescent="0.3">
      <c r="B161" s="96"/>
      <c r="C161" s="96"/>
      <c r="E161" s="96"/>
    </row>
    <row r="162" spans="2:5" x14ac:dyDescent="0.3">
      <c r="B162" s="96"/>
      <c r="C162" s="96"/>
      <c r="E162" s="96"/>
    </row>
    <row r="163" spans="2:5" x14ac:dyDescent="0.3">
      <c r="B163" s="96"/>
      <c r="C163" s="96"/>
      <c r="E163" s="96"/>
    </row>
    <row r="164" spans="2:5" x14ac:dyDescent="0.3">
      <c r="B164" s="96"/>
      <c r="C164" s="96"/>
      <c r="E164" s="96"/>
    </row>
    <row r="165" spans="2:5" x14ac:dyDescent="0.3">
      <c r="B165" s="96"/>
      <c r="C165" s="96"/>
      <c r="E165" s="96"/>
    </row>
    <row r="166" spans="2:5" x14ac:dyDescent="0.3">
      <c r="B166" s="96"/>
      <c r="C166" s="96"/>
      <c r="E166" s="96"/>
    </row>
    <row r="167" spans="2:5" x14ac:dyDescent="0.3">
      <c r="B167" s="96"/>
      <c r="C167" s="96"/>
      <c r="E167" s="96"/>
    </row>
    <row r="168" spans="2:5" x14ac:dyDescent="0.3">
      <c r="B168" s="96"/>
      <c r="C168" s="96"/>
      <c r="E168" s="96"/>
    </row>
    <row r="169" spans="2:5" x14ac:dyDescent="0.3">
      <c r="B169" s="96"/>
      <c r="C169" s="96"/>
      <c r="E169" s="96"/>
    </row>
    <row r="170" spans="2:5" x14ac:dyDescent="0.3">
      <c r="B170" s="96"/>
      <c r="C170" s="96"/>
      <c r="E170" s="96"/>
    </row>
    <row r="171" spans="2:5" x14ac:dyDescent="0.3">
      <c r="B171" s="96"/>
      <c r="C171" s="96"/>
      <c r="E171" s="96"/>
    </row>
    <row r="172" spans="2:5" x14ac:dyDescent="0.3">
      <c r="B172" s="96"/>
      <c r="C172" s="96"/>
      <c r="E172" s="96"/>
    </row>
    <row r="173" spans="2:5" x14ac:dyDescent="0.3">
      <c r="B173" s="96"/>
      <c r="C173" s="96"/>
      <c r="E173" s="96"/>
    </row>
    <row r="174" spans="2:5" x14ac:dyDescent="0.3">
      <c r="B174" s="96"/>
      <c r="C174" s="96"/>
      <c r="E174" s="96"/>
    </row>
    <row r="175" spans="2:5" x14ac:dyDescent="0.3">
      <c r="B175" s="96"/>
      <c r="C175" s="96"/>
      <c r="E175" s="96"/>
    </row>
    <row r="176" spans="2:5" x14ac:dyDescent="0.3">
      <c r="B176" s="96"/>
      <c r="C176" s="96"/>
      <c r="E176" s="96"/>
    </row>
    <row r="177" spans="2:6" x14ac:dyDescent="0.3">
      <c r="B177" s="96"/>
      <c r="C177" s="96"/>
      <c r="E177" s="96"/>
    </row>
    <row r="178" spans="2:6" x14ac:dyDescent="0.3">
      <c r="B178" s="96"/>
      <c r="C178" s="96"/>
      <c r="E178" s="96"/>
    </row>
    <row r="179" spans="2:6" x14ac:dyDescent="0.3">
      <c r="B179" s="96"/>
      <c r="C179" s="96"/>
      <c r="E179" s="96"/>
    </row>
    <row r="180" spans="2:6" x14ac:dyDescent="0.3">
      <c r="B180" s="96"/>
      <c r="C180" s="96"/>
      <c r="E180" s="96"/>
    </row>
    <row r="181" spans="2:6" x14ac:dyDescent="0.3">
      <c r="B181" s="96"/>
      <c r="C181" s="96"/>
      <c r="E181" s="96"/>
    </row>
    <row r="182" spans="2:6" x14ac:dyDescent="0.3">
      <c r="B182" s="96"/>
      <c r="C182" s="96"/>
      <c r="E182" s="96"/>
    </row>
    <row r="183" spans="2:6" x14ac:dyDescent="0.3">
      <c r="B183" s="96"/>
      <c r="C183" s="96"/>
      <c r="E183" s="96"/>
      <c r="F183" s="332"/>
    </row>
    <row r="304" spans="3:3" x14ac:dyDescent="0.3">
      <c r="C304" s="14"/>
    </row>
    <row r="305" spans="1:3" x14ac:dyDescent="0.3">
      <c r="C305" s="14"/>
    </row>
    <row r="306" spans="1:3" x14ac:dyDescent="0.3">
      <c r="C306" s="14"/>
    </row>
    <row r="307" spans="1:3" x14ac:dyDescent="0.3">
      <c r="A307" s="14"/>
      <c r="C307" s="14"/>
    </row>
    <row r="308" spans="1:3" x14ac:dyDescent="0.3">
      <c r="A308" s="14"/>
      <c r="C308" s="14"/>
    </row>
    <row r="309" spans="1:3" x14ac:dyDescent="0.3">
      <c r="A309" s="14"/>
      <c r="C309" s="14"/>
    </row>
    <row r="310" spans="1:3" x14ac:dyDescent="0.3">
      <c r="A310" s="14"/>
      <c r="C310" s="14"/>
    </row>
    <row r="311" spans="1:3" x14ac:dyDescent="0.3">
      <c r="A311" s="14"/>
      <c r="C311" s="14"/>
    </row>
    <row r="312" spans="1:3" x14ac:dyDescent="0.3">
      <c r="A312" s="14"/>
    </row>
    <row r="313" spans="1:3" x14ac:dyDescent="0.3">
      <c r="A313" s="14"/>
    </row>
    <row r="314" spans="1:3" x14ac:dyDescent="0.3">
      <c r="A314" s="14"/>
    </row>
    <row r="315" spans="1:3" x14ac:dyDescent="0.3">
      <c r="A315" s="14"/>
    </row>
    <row r="316" spans="1:3" x14ac:dyDescent="0.3">
      <c r="A316" s="14"/>
    </row>
    <row r="317" spans="1:3" x14ac:dyDescent="0.3">
      <c r="A317" s="14"/>
    </row>
    <row r="318" spans="1:3" x14ac:dyDescent="0.3">
      <c r="A318" s="14"/>
    </row>
    <row r="319" spans="1:3" x14ac:dyDescent="0.3">
      <c r="A319" s="14"/>
    </row>
    <row r="320" spans="1:3" x14ac:dyDescent="0.3">
      <c r="A320" s="14"/>
    </row>
    <row r="321" spans="1:1" x14ac:dyDescent="0.3">
      <c r="A321" s="14"/>
    </row>
    <row r="322" spans="1:1" x14ac:dyDescent="0.3">
      <c r="A322" s="14"/>
    </row>
    <row r="323" spans="1:1" x14ac:dyDescent="0.3">
      <c r="A323" s="14"/>
    </row>
    <row r="324" spans="1:1" x14ac:dyDescent="0.3">
      <c r="A324" s="14"/>
    </row>
    <row r="325" spans="1:1" x14ac:dyDescent="0.3">
      <c r="A325" s="14"/>
    </row>
    <row r="326" spans="1:1" x14ac:dyDescent="0.3">
      <c r="A326" s="14"/>
    </row>
    <row r="327" spans="1:1" x14ac:dyDescent="0.3">
      <c r="A327" s="14"/>
    </row>
    <row r="328" spans="1:1" x14ac:dyDescent="0.3">
      <c r="A328" s="14"/>
    </row>
    <row r="329" spans="1:1" x14ac:dyDescent="0.3">
      <c r="A329" s="14"/>
    </row>
    <row r="330" spans="1:1" x14ac:dyDescent="0.3">
      <c r="A330" s="14"/>
    </row>
    <row r="331" spans="1:1" x14ac:dyDescent="0.3">
      <c r="A331" s="14"/>
    </row>
    <row r="332" spans="1:1" x14ac:dyDescent="0.3">
      <c r="A332" s="14"/>
    </row>
    <row r="333" spans="1:1" x14ac:dyDescent="0.3">
      <c r="A333" s="14"/>
    </row>
    <row r="334" spans="1:1" x14ac:dyDescent="0.3">
      <c r="A334" s="14"/>
    </row>
    <row r="335" spans="1:1" x14ac:dyDescent="0.3">
      <c r="A335" s="14"/>
    </row>
    <row r="336" spans="1:1" x14ac:dyDescent="0.3">
      <c r="A336" s="14"/>
    </row>
    <row r="337" spans="1:1" x14ac:dyDescent="0.3">
      <c r="A337" s="14"/>
    </row>
    <row r="338" spans="1:1" x14ac:dyDescent="0.3">
      <c r="A338" s="14"/>
    </row>
    <row r="339" spans="1:1" x14ac:dyDescent="0.3">
      <c r="A339" s="14"/>
    </row>
    <row r="340" spans="1:1" x14ac:dyDescent="0.3">
      <c r="A340" s="14"/>
    </row>
    <row r="341" spans="1:1" x14ac:dyDescent="0.3">
      <c r="A341" s="14"/>
    </row>
    <row r="342" spans="1:1" x14ac:dyDescent="0.3">
      <c r="A342" s="14"/>
    </row>
    <row r="343" spans="1:1" x14ac:dyDescent="0.3">
      <c r="A343" s="14"/>
    </row>
    <row r="344" spans="1:1" x14ac:dyDescent="0.3">
      <c r="A344" s="14"/>
    </row>
    <row r="345" spans="1:1" x14ac:dyDescent="0.3">
      <c r="A345" s="14"/>
    </row>
    <row r="346" spans="1:1" x14ac:dyDescent="0.3">
      <c r="A346" s="14"/>
    </row>
    <row r="347" spans="1:1" x14ac:dyDescent="0.3">
      <c r="A347" s="14"/>
    </row>
    <row r="348" spans="1:1" x14ac:dyDescent="0.3">
      <c r="A348" s="14"/>
    </row>
    <row r="349" spans="1:1" x14ac:dyDescent="0.3">
      <c r="A349" s="14"/>
    </row>
    <row r="350" spans="1:1" x14ac:dyDescent="0.3">
      <c r="A350" s="14"/>
    </row>
    <row r="351" spans="1:1" x14ac:dyDescent="0.3">
      <c r="A351" s="14"/>
    </row>
    <row r="352" spans="1:1" x14ac:dyDescent="0.3">
      <c r="A352" s="14"/>
    </row>
    <row r="353" spans="1:1" x14ac:dyDescent="0.3">
      <c r="A353" s="14"/>
    </row>
    <row r="354" spans="1:1" x14ac:dyDescent="0.3">
      <c r="A354" s="14"/>
    </row>
    <row r="355" spans="1:1" x14ac:dyDescent="0.3">
      <c r="A355" s="14"/>
    </row>
    <row r="356" spans="1:1" x14ac:dyDescent="0.3">
      <c r="A356" s="14"/>
    </row>
    <row r="357" spans="1:1" x14ac:dyDescent="0.3">
      <c r="A357" s="14"/>
    </row>
    <row r="358" spans="1:1" x14ac:dyDescent="0.3">
      <c r="A358" s="14"/>
    </row>
    <row r="359" spans="1:1" x14ac:dyDescent="0.3">
      <c r="A359" s="14"/>
    </row>
    <row r="360" spans="1:1" x14ac:dyDescent="0.3">
      <c r="A360" s="14"/>
    </row>
    <row r="361" spans="1:1" x14ac:dyDescent="0.3">
      <c r="A361" s="14"/>
    </row>
    <row r="362" spans="1:1" x14ac:dyDescent="0.3">
      <c r="A362" s="14"/>
    </row>
    <row r="363" spans="1:1" x14ac:dyDescent="0.3">
      <c r="A363" s="14"/>
    </row>
    <row r="364" spans="1:1" x14ac:dyDescent="0.3">
      <c r="A364" s="14"/>
    </row>
    <row r="365" spans="1:1" x14ac:dyDescent="0.3">
      <c r="A365" s="14"/>
    </row>
    <row r="366" spans="1:1" x14ac:dyDescent="0.3">
      <c r="A366" s="14"/>
    </row>
    <row r="367" spans="1:1" x14ac:dyDescent="0.3">
      <c r="A367" s="14"/>
    </row>
    <row r="368" spans="1:1" x14ac:dyDescent="0.3">
      <c r="A368" s="14"/>
    </row>
    <row r="369" spans="1:1" x14ac:dyDescent="0.3">
      <c r="A369" s="14"/>
    </row>
    <row r="370" spans="1:1" x14ac:dyDescent="0.3">
      <c r="A370" s="14"/>
    </row>
    <row r="371" spans="1:1" x14ac:dyDescent="0.3">
      <c r="A371" s="14"/>
    </row>
    <row r="372" spans="1:1" x14ac:dyDescent="0.3">
      <c r="A372" s="14"/>
    </row>
    <row r="373" spans="1:1" x14ac:dyDescent="0.3">
      <c r="A373" s="14"/>
    </row>
    <row r="374" spans="1:1" x14ac:dyDescent="0.3">
      <c r="A374" s="14"/>
    </row>
    <row r="375" spans="1:1" x14ac:dyDescent="0.3">
      <c r="A375" s="14"/>
    </row>
    <row r="376" spans="1:1" x14ac:dyDescent="0.3">
      <c r="A376" s="14"/>
    </row>
    <row r="377" spans="1:1" x14ac:dyDescent="0.3">
      <c r="A377" s="14"/>
    </row>
    <row r="378" spans="1:1" x14ac:dyDescent="0.3">
      <c r="A378" s="14"/>
    </row>
    <row r="379" spans="1:1" x14ac:dyDescent="0.3">
      <c r="A379" s="14"/>
    </row>
    <row r="380" spans="1:1" x14ac:dyDescent="0.3">
      <c r="A380" s="14"/>
    </row>
    <row r="381" spans="1:1" x14ac:dyDescent="0.3">
      <c r="A381" s="14"/>
    </row>
    <row r="382" spans="1:1" x14ac:dyDescent="0.3">
      <c r="A382" s="14"/>
    </row>
    <row r="383" spans="1:1" x14ac:dyDescent="0.3">
      <c r="A383" s="14"/>
    </row>
    <row r="384" spans="1:1" x14ac:dyDescent="0.3">
      <c r="A384" s="14"/>
    </row>
    <row r="385" spans="1:1" x14ac:dyDescent="0.3">
      <c r="A385" s="14"/>
    </row>
    <row r="386" spans="1:1" x14ac:dyDescent="0.3">
      <c r="A386" s="14"/>
    </row>
    <row r="387" spans="1:1" x14ac:dyDescent="0.3">
      <c r="A387" s="14"/>
    </row>
    <row r="388" spans="1:1" x14ac:dyDescent="0.3">
      <c r="A388" s="14"/>
    </row>
    <row r="389" spans="1:1" x14ac:dyDescent="0.3">
      <c r="A389" s="14"/>
    </row>
    <row r="390" spans="1:1" x14ac:dyDescent="0.3">
      <c r="A390" s="14"/>
    </row>
    <row r="391" spans="1:1" x14ac:dyDescent="0.3">
      <c r="A391" s="14"/>
    </row>
    <row r="392" spans="1:1" x14ac:dyDescent="0.3">
      <c r="A392" s="14"/>
    </row>
    <row r="393" spans="1:1" x14ac:dyDescent="0.3">
      <c r="A393" s="14"/>
    </row>
    <row r="394" spans="1:1" x14ac:dyDescent="0.3">
      <c r="A394" s="14"/>
    </row>
    <row r="395" spans="1:1" x14ac:dyDescent="0.3">
      <c r="A395" s="14"/>
    </row>
    <row r="396" spans="1:1" x14ac:dyDescent="0.3">
      <c r="A396" s="14"/>
    </row>
    <row r="397" spans="1:1" x14ac:dyDescent="0.3">
      <c r="A397" s="14"/>
    </row>
    <row r="398" spans="1:1" x14ac:dyDescent="0.3">
      <c r="A398" s="14"/>
    </row>
    <row r="399" spans="1:1" x14ac:dyDescent="0.3">
      <c r="A399" s="14"/>
    </row>
    <row r="400" spans="1:1" x14ac:dyDescent="0.3">
      <c r="A400" s="14"/>
    </row>
    <row r="401" spans="1:1" x14ac:dyDescent="0.3">
      <c r="A401" s="14"/>
    </row>
    <row r="402" spans="1:1" x14ac:dyDescent="0.3">
      <c r="A402" s="14"/>
    </row>
    <row r="403" spans="1:1" x14ac:dyDescent="0.3">
      <c r="A403" s="14"/>
    </row>
    <row r="404" spans="1:1" x14ac:dyDescent="0.3">
      <c r="A404" s="14"/>
    </row>
    <row r="405" spans="1:1" x14ac:dyDescent="0.3">
      <c r="A405" s="14"/>
    </row>
    <row r="406" spans="1:1" x14ac:dyDescent="0.3">
      <c r="A406" s="14"/>
    </row>
    <row r="407" spans="1:1" x14ac:dyDescent="0.3">
      <c r="A407" s="14"/>
    </row>
    <row r="408" spans="1:1" x14ac:dyDescent="0.3">
      <c r="A408" s="14"/>
    </row>
    <row r="409" spans="1:1" x14ac:dyDescent="0.3">
      <c r="A409" s="14"/>
    </row>
    <row r="410" spans="1:1" x14ac:dyDescent="0.3">
      <c r="A410" s="14"/>
    </row>
    <row r="411" spans="1:1" x14ac:dyDescent="0.3">
      <c r="A411" s="14"/>
    </row>
    <row r="412" spans="1:1" x14ac:dyDescent="0.3">
      <c r="A412" s="14"/>
    </row>
    <row r="413" spans="1:1" x14ac:dyDescent="0.3">
      <c r="A413" s="14"/>
    </row>
    <row r="414" spans="1:1" x14ac:dyDescent="0.3">
      <c r="A414" s="14"/>
    </row>
    <row r="415" spans="1:1" x14ac:dyDescent="0.3">
      <c r="A415" s="14"/>
    </row>
    <row r="416" spans="1:1" x14ac:dyDescent="0.3">
      <c r="A416" s="14"/>
    </row>
    <row r="417" spans="1:1" x14ac:dyDescent="0.3">
      <c r="A417" s="14"/>
    </row>
    <row r="418" spans="1:1" x14ac:dyDescent="0.3">
      <c r="A418" s="14"/>
    </row>
    <row r="419" spans="1:1" x14ac:dyDescent="0.3">
      <c r="A419" s="14"/>
    </row>
    <row r="420" spans="1:1" x14ac:dyDescent="0.3">
      <c r="A420" s="14"/>
    </row>
    <row r="421" spans="1:1" x14ac:dyDescent="0.3">
      <c r="A421" s="14"/>
    </row>
    <row r="422" spans="1:1" x14ac:dyDescent="0.3">
      <c r="A422" s="14"/>
    </row>
    <row r="423" spans="1:1" x14ac:dyDescent="0.3">
      <c r="A423" s="14"/>
    </row>
    <row r="424" spans="1:1" x14ac:dyDescent="0.3">
      <c r="A424" s="14"/>
    </row>
    <row r="425" spans="1:1" x14ac:dyDescent="0.3">
      <c r="A425" s="14"/>
    </row>
    <row r="426" spans="1:1" x14ac:dyDescent="0.3">
      <c r="A426" s="14"/>
    </row>
    <row r="427" spans="1:1" x14ac:dyDescent="0.3">
      <c r="A427" s="14"/>
    </row>
    <row r="428" spans="1:1" x14ac:dyDescent="0.3">
      <c r="A428" s="14"/>
    </row>
    <row r="429" spans="1:1" x14ac:dyDescent="0.3">
      <c r="A429" s="14"/>
    </row>
    <row r="430" spans="1:1" x14ac:dyDescent="0.3">
      <c r="A430" s="14"/>
    </row>
    <row r="431" spans="1:1" x14ac:dyDescent="0.3">
      <c r="A431" s="14"/>
    </row>
    <row r="432" spans="1:1" x14ac:dyDescent="0.3">
      <c r="A432" s="14"/>
    </row>
    <row r="433" spans="1:1" x14ac:dyDescent="0.3">
      <c r="A433" s="14"/>
    </row>
    <row r="434" spans="1:1" x14ac:dyDescent="0.3">
      <c r="A434" s="14"/>
    </row>
    <row r="435" spans="1:1" x14ac:dyDescent="0.3">
      <c r="A435" s="14"/>
    </row>
    <row r="436" spans="1:1" x14ac:dyDescent="0.3">
      <c r="A436" s="14"/>
    </row>
    <row r="437" spans="1:1" x14ac:dyDescent="0.3">
      <c r="A437" s="14"/>
    </row>
    <row r="438" spans="1:1" x14ac:dyDescent="0.3">
      <c r="A438" s="14"/>
    </row>
    <row r="439" spans="1:1" x14ac:dyDescent="0.3">
      <c r="A439" s="14"/>
    </row>
    <row r="440" spans="1:1" x14ac:dyDescent="0.3">
      <c r="A440" s="14"/>
    </row>
    <row r="441" spans="1:1" x14ac:dyDescent="0.3">
      <c r="A441" s="14"/>
    </row>
    <row r="442" spans="1:1" x14ac:dyDescent="0.3">
      <c r="A442" s="14"/>
    </row>
    <row r="443" spans="1:1" x14ac:dyDescent="0.3">
      <c r="A443" s="14"/>
    </row>
    <row r="444" spans="1:1" x14ac:dyDescent="0.3">
      <c r="A444" s="14"/>
    </row>
    <row r="445" spans="1:1" x14ac:dyDescent="0.3">
      <c r="A445" s="14"/>
    </row>
    <row r="446" spans="1:1" x14ac:dyDescent="0.3">
      <c r="A446" s="14"/>
    </row>
    <row r="447" spans="1:1" x14ac:dyDescent="0.3">
      <c r="A447" s="14"/>
    </row>
    <row r="448" spans="1:1"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t="s">
        <v>1619</v>
      </c>
    </row>
    <row r="491" spans="1:1" x14ac:dyDescent="0.3">
      <c r="A491" s="14" t="s">
        <v>1620</v>
      </c>
    </row>
    <row r="492" spans="1:1" x14ac:dyDescent="0.3">
      <c r="A492" s="14" t="s">
        <v>839</v>
      </c>
    </row>
    <row r="493" spans="1:1" x14ac:dyDescent="0.3">
      <c r="A493" s="14" t="s">
        <v>840</v>
      </c>
    </row>
    <row r="494" spans="1:1" x14ac:dyDescent="0.3">
      <c r="A494" s="14" t="s">
        <v>841</v>
      </c>
    </row>
    <row r="495" spans="1:1" x14ac:dyDescent="0.3">
      <c r="A495" s="14" t="s">
        <v>842</v>
      </c>
    </row>
    <row r="496" spans="1:1" x14ac:dyDescent="0.3">
      <c r="A496" s="14" t="s">
        <v>843</v>
      </c>
    </row>
    <row r="497" spans="1:1" x14ac:dyDescent="0.3">
      <c r="A497" s="14" t="s">
        <v>48</v>
      </c>
    </row>
    <row r="498" spans="1:1" x14ac:dyDescent="0.3">
      <c r="A498" s="14" t="s">
        <v>1589</v>
      </c>
    </row>
    <row r="499" spans="1:1" x14ac:dyDescent="0.3">
      <c r="A499" s="14" t="s">
        <v>1590</v>
      </c>
    </row>
    <row r="500" spans="1:1" x14ac:dyDescent="0.3">
      <c r="A500" s="14" t="s">
        <v>344</v>
      </c>
    </row>
    <row r="501" spans="1:1" x14ac:dyDescent="0.3">
      <c r="A501" s="14" t="s">
        <v>1098</v>
      </c>
    </row>
    <row r="502" spans="1:1" x14ac:dyDescent="0.3">
      <c r="A502" s="14" t="s">
        <v>1099</v>
      </c>
    </row>
    <row r="503" spans="1:1" x14ac:dyDescent="0.3">
      <c r="A503" s="14" t="s">
        <v>1100</v>
      </c>
    </row>
    <row r="504" spans="1:1" x14ac:dyDescent="0.3">
      <c r="A504" s="14" t="s">
        <v>1101</v>
      </c>
    </row>
    <row r="505" spans="1:1" x14ac:dyDescent="0.3">
      <c r="A505" s="14" t="s">
        <v>1102</v>
      </c>
    </row>
    <row r="506" spans="1:1" x14ac:dyDescent="0.3">
      <c r="A506" s="14" t="s">
        <v>1103</v>
      </c>
    </row>
    <row r="507" spans="1:1" x14ac:dyDescent="0.3">
      <c r="A507" s="14" t="s">
        <v>369</v>
      </c>
    </row>
    <row r="508" spans="1:1" x14ac:dyDescent="0.3">
      <c r="A508" s="14" t="s">
        <v>370</v>
      </c>
    </row>
    <row r="509" spans="1:1" x14ac:dyDescent="0.3">
      <c r="A509" s="14" t="s">
        <v>371</v>
      </c>
    </row>
    <row r="510" spans="1:1" x14ac:dyDescent="0.3">
      <c r="A510" s="14" t="s">
        <v>372</v>
      </c>
    </row>
    <row r="511" spans="1:1" x14ac:dyDescent="0.3">
      <c r="A511" s="14" t="s">
        <v>373</v>
      </c>
    </row>
    <row r="512" spans="1:1" x14ac:dyDescent="0.3">
      <c r="A512" s="14" t="s">
        <v>374</v>
      </c>
    </row>
    <row r="513" spans="1:1" x14ac:dyDescent="0.3">
      <c r="A513" s="14" t="s">
        <v>375</v>
      </c>
    </row>
    <row r="514" spans="1:1" x14ac:dyDescent="0.3">
      <c r="A514" s="14" t="s">
        <v>376</v>
      </c>
    </row>
    <row r="515" spans="1:1" x14ac:dyDescent="0.3">
      <c r="A515" s="14" t="s">
        <v>1031</v>
      </c>
    </row>
    <row r="516" spans="1:1" x14ac:dyDescent="0.3">
      <c r="A516" s="14" t="s">
        <v>1032</v>
      </c>
    </row>
    <row r="517" spans="1:1" x14ac:dyDescent="0.3">
      <c r="A517" s="14" t="s">
        <v>1033</v>
      </c>
    </row>
    <row r="518" spans="1:1" x14ac:dyDescent="0.3">
      <c r="A518" s="14" t="s">
        <v>1034</v>
      </c>
    </row>
    <row r="519" spans="1:1" x14ac:dyDescent="0.3">
      <c r="A519" s="14" t="s">
        <v>1035</v>
      </c>
    </row>
    <row r="520" spans="1:1" x14ac:dyDescent="0.3">
      <c r="A520" s="14" t="s">
        <v>1036</v>
      </c>
    </row>
    <row r="521" spans="1:1" x14ac:dyDescent="0.3">
      <c r="A521" s="14" t="s">
        <v>1037</v>
      </c>
    </row>
    <row r="522" spans="1:1" x14ac:dyDescent="0.3">
      <c r="A522" s="14" t="s">
        <v>856</v>
      </c>
    </row>
    <row r="523" spans="1:1" x14ac:dyDescent="0.3">
      <c r="A523" s="14" t="s">
        <v>857</v>
      </c>
    </row>
    <row r="524" spans="1:1" x14ac:dyDescent="0.3">
      <c r="A524" s="14" t="s">
        <v>858</v>
      </c>
    </row>
    <row r="525" spans="1:1" x14ac:dyDescent="0.3">
      <c r="A525" s="14" t="s">
        <v>385</v>
      </c>
    </row>
    <row r="526" spans="1:1" x14ac:dyDescent="0.3">
      <c r="A526" s="14" t="s">
        <v>386</v>
      </c>
    </row>
    <row r="527" spans="1:1" x14ac:dyDescent="0.3">
      <c r="A527" s="14" t="s">
        <v>387</v>
      </c>
    </row>
    <row r="528" spans="1:1" x14ac:dyDescent="0.3">
      <c r="A528" s="14" t="s">
        <v>388</v>
      </c>
    </row>
    <row r="529" spans="1:1" x14ac:dyDescent="0.3">
      <c r="A529" s="14" t="s">
        <v>604</v>
      </c>
    </row>
    <row r="530" spans="1:1" x14ac:dyDescent="0.3">
      <c r="A530" s="14" t="s">
        <v>1918</v>
      </c>
    </row>
    <row r="531" spans="1:1" x14ac:dyDescent="0.3">
      <c r="A531" s="14" t="s">
        <v>1919</v>
      </c>
    </row>
    <row r="532" spans="1:1" x14ac:dyDescent="0.3">
      <c r="A532" s="14" t="s">
        <v>1920</v>
      </c>
    </row>
    <row r="533" spans="1:1" x14ac:dyDescent="0.3">
      <c r="A533" s="14" t="s">
        <v>582</v>
      </c>
    </row>
    <row r="534" spans="1:1" x14ac:dyDescent="0.3">
      <c r="A534" s="14" t="s">
        <v>1676</v>
      </c>
    </row>
    <row r="535" spans="1:1" x14ac:dyDescent="0.3">
      <c r="A535" s="14" t="s">
        <v>499</v>
      </c>
    </row>
    <row r="536" spans="1:1" x14ac:dyDescent="0.3">
      <c r="A536" s="14" t="s">
        <v>500</v>
      </c>
    </row>
    <row r="537" spans="1:1" x14ac:dyDescent="0.3">
      <c r="A537" s="14" t="s">
        <v>501</v>
      </c>
    </row>
    <row r="538" spans="1:1" x14ac:dyDescent="0.3">
      <c r="A538" s="14" t="s">
        <v>502</v>
      </c>
    </row>
    <row r="539" spans="1:1" x14ac:dyDescent="0.3">
      <c r="A539" s="14" t="s">
        <v>503</v>
      </c>
    </row>
    <row r="540" spans="1:1" x14ac:dyDescent="0.3">
      <c r="A540" s="14" t="s">
        <v>504</v>
      </c>
    </row>
    <row r="541" spans="1:1" x14ac:dyDescent="0.3">
      <c r="A541" s="14" t="s">
        <v>538</v>
      </c>
    </row>
    <row r="542" spans="1:1" x14ac:dyDescent="0.3">
      <c r="A542" s="14" t="s">
        <v>1704</v>
      </c>
    </row>
    <row r="543" spans="1:1" x14ac:dyDescent="0.3">
      <c r="A543" s="14" t="s">
        <v>933</v>
      </c>
    </row>
    <row r="544" spans="1:1" x14ac:dyDescent="0.3">
      <c r="A544" s="14" t="s">
        <v>934</v>
      </c>
    </row>
    <row r="545" spans="1:1" x14ac:dyDescent="0.3">
      <c r="A545" s="14" t="s">
        <v>935</v>
      </c>
    </row>
    <row r="546" spans="1:1" x14ac:dyDescent="0.3">
      <c r="A546" s="14" t="s">
        <v>936</v>
      </c>
    </row>
    <row r="547" spans="1:1" x14ac:dyDescent="0.3">
      <c r="A547" s="14" t="s">
        <v>937</v>
      </c>
    </row>
    <row r="548" spans="1:1" x14ac:dyDescent="0.3">
      <c r="A548" s="14" t="s">
        <v>938</v>
      </c>
    </row>
    <row r="549" spans="1:1" x14ac:dyDescent="0.3">
      <c r="A549" s="14" t="s">
        <v>939</v>
      </c>
    </row>
    <row r="550" spans="1:1" x14ac:dyDescent="0.3">
      <c r="A550" s="14" t="s">
        <v>940</v>
      </c>
    </row>
    <row r="551" spans="1:1" x14ac:dyDescent="0.3">
      <c r="A551" s="14" t="s">
        <v>94</v>
      </c>
    </row>
    <row r="552" spans="1:1" x14ac:dyDescent="0.3">
      <c r="A552" s="14" t="s">
        <v>95</v>
      </c>
    </row>
    <row r="553" spans="1:1" x14ac:dyDescent="0.3">
      <c r="A553" s="14" t="s">
        <v>96</v>
      </c>
    </row>
    <row r="554" spans="1:1" x14ac:dyDescent="0.3">
      <c r="A554" s="14" t="s">
        <v>97</v>
      </c>
    </row>
    <row r="555" spans="1:1" x14ac:dyDescent="0.3">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 x14ac:dyDescent="0.3"/>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3"/>
    <row r="2" spans="1:12" ht="36.75" customHeight="1" x14ac:dyDescent="0.3">
      <c r="A2" s="947" t="s">
        <v>1374</v>
      </c>
      <c r="B2" s="947"/>
      <c r="C2" s="947"/>
      <c r="D2" s="947"/>
      <c r="E2" s="947"/>
      <c r="F2" s="57"/>
      <c r="G2" s="57"/>
      <c r="H2" s="57"/>
      <c r="I2" s="57"/>
      <c r="J2" s="57"/>
      <c r="K2" s="1"/>
      <c r="L2" s="1"/>
    </row>
    <row r="3" spans="1:12" ht="24.75" customHeight="1" x14ac:dyDescent="0.3">
      <c r="A3" s="18"/>
      <c r="B3" s="170" t="s">
        <v>1373</v>
      </c>
      <c r="C3" s="878" t="s">
        <v>1965</v>
      </c>
      <c r="D3" s="878"/>
      <c r="E3" s="878"/>
      <c r="F3" s="1"/>
      <c r="G3" s="1"/>
      <c r="H3" s="1"/>
      <c r="I3" s="1"/>
      <c r="J3" s="1"/>
      <c r="K3" s="1"/>
      <c r="L3" s="1"/>
    </row>
    <row r="4" spans="1:12" ht="34.5" customHeight="1" x14ac:dyDescent="0.3">
      <c r="A4" s="18"/>
      <c r="B4" s="18"/>
      <c r="C4" s="19" t="s">
        <v>1966</v>
      </c>
      <c r="D4" s="19" t="s">
        <v>1284</v>
      </c>
      <c r="E4" s="19" t="s">
        <v>1285</v>
      </c>
      <c r="F4" s="1"/>
      <c r="G4" s="1"/>
      <c r="H4" s="1"/>
      <c r="I4" s="1"/>
      <c r="J4" s="1"/>
    </row>
    <row r="5" spans="1:12" ht="53.25" customHeight="1" x14ac:dyDescent="0.3">
      <c r="A5" s="18"/>
      <c r="B5" s="18"/>
      <c r="C5" s="19" t="s">
        <v>1286</v>
      </c>
      <c r="D5" s="19" t="s">
        <v>166</v>
      </c>
      <c r="E5" s="19" t="s">
        <v>167</v>
      </c>
      <c r="F5" s="1"/>
      <c r="G5" s="1"/>
      <c r="H5" s="1"/>
      <c r="I5" s="1"/>
      <c r="J5" s="1"/>
    </row>
    <row r="6" spans="1:12" x14ac:dyDescent="0.3">
      <c r="A6" s="146" t="s">
        <v>168</v>
      </c>
      <c r="B6" s="146" t="s">
        <v>169</v>
      </c>
      <c r="C6" s="146" t="s">
        <v>169</v>
      </c>
      <c r="D6" s="146" t="s">
        <v>169</v>
      </c>
      <c r="E6" s="146" t="s">
        <v>169</v>
      </c>
    </row>
    <row r="7" spans="1:12" x14ac:dyDescent="0.3">
      <c r="A7" s="334">
        <v>18264</v>
      </c>
      <c r="B7" s="335">
        <v>347.51</v>
      </c>
      <c r="C7" s="336">
        <v>117.47</v>
      </c>
      <c r="D7" s="337">
        <v>137.05000000000001</v>
      </c>
      <c r="E7" s="337">
        <v>347.51</v>
      </c>
      <c r="F7" s="2" t="s">
        <v>2174</v>
      </c>
      <c r="G7" s="146" t="s">
        <v>170</v>
      </c>
      <c r="H7" s="334" t="str">
        <f>IF('Start here'!A8="","",'Start here'!A8)</f>
        <v/>
      </c>
    </row>
    <row r="8" spans="1:12" x14ac:dyDescent="0.3">
      <c r="A8" s="334">
        <v>33604</v>
      </c>
      <c r="B8" s="335">
        <v>305.08999999999997</v>
      </c>
      <c r="C8" s="336">
        <v>103.13</v>
      </c>
      <c r="D8" s="337">
        <v>120.32</v>
      </c>
      <c r="E8" s="337">
        <v>305.08999999999997</v>
      </c>
      <c r="F8" s="2" t="s">
        <v>2176</v>
      </c>
      <c r="G8" s="146" t="s">
        <v>1890</v>
      </c>
      <c r="H8" s="337" t="e">
        <f>IF(H7&lt;1/1/50,0,VLOOKUP(H7,A7:E16,3))</f>
        <v>#N/A</v>
      </c>
    </row>
    <row r="9" spans="1:12" x14ac:dyDescent="0.3">
      <c r="A9" s="334">
        <v>33786</v>
      </c>
      <c r="B9" s="335">
        <v>315.63</v>
      </c>
      <c r="C9" s="336">
        <v>106.69</v>
      </c>
      <c r="D9" s="337">
        <v>124.47</v>
      </c>
      <c r="E9" s="337">
        <v>315.63</v>
      </c>
      <c r="F9" s="2" t="s">
        <v>2176</v>
      </c>
      <c r="G9" s="146" t="s">
        <v>1891</v>
      </c>
      <c r="H9" s="337" t="e">
        <f>IF(H7&lt;1/1/50,0,VLOOKUP(H7,A7:E16,4))</f>
        <v>#N/A</v>
      </c>
    </row>
    <row r="10" spans="1:12" x14ac:dyDescent="0.3">
      <c r="A10" s="334">
        <v>34151</v>
      </c>
      <c r="B10" s="335">
        <v>331.41</v>
      </c>
      <c r="C10" s="336">
        <v>112.03</v>
      </c>
      <c r="D10" s="337">
        <v>130.69999999999999</v>
      </c>
      <c r="E10" s="337">
        <v>331.41</v>
      </c>
      <c r="F10" s="2" t="s">
        <v>2176</v>
      </c>
      <c r="G10" s="146" t="s">
        <v>1892</v>
      </c>
      <c r="H10" s="337" t="e">
        <f>IF(H7&lt;1/1/50,0,VLOOKUP(H7,A7:E16,5))</f>
        <v>#N/A</v>
      </c>
    </row>
    <row r="11" spans="1:12" x14ac:dyDescent="0.3">
      <c r="A11" s="334">
        <v>34516</v>
      </c>
      <c r="B11" s="335">
        <v>347.51</v>
      </c>
      <c r="C11" s="336">
        <v>117.47</v>
      </c>
      <c r="D11" s="337">
        <v>137.05000000000001</v>
      </c>
      <c r="E11" s="337">
        <v>347.51</v>
      </c>
      <c r="F11" s="2" t="s">
        <v>2174</v>
      </c>
      <c r="G11" s="146" t="s">
        <v>1373</v>
      </c>
      <c r="H11" s="337" t="e">
        <f>IF(H7&lt;1/1/50,0,VLOOKUP(H7,A7:E16,2))</f>
        <v>#N/A</v>
      </c>
    </row>
    <row r="12" spans="1:12" x14ac:dyDescent="0.3">
      <c r="A12" s="334">
        <v>34881</v>
      </c>
      <c r="B12" s="335">
        <v>351.05</v>
      </c>
      <c r="C12" s="336">
        <v>118.67</v>
      </c>
      <c r="D12" s="337">
        <v>138.44</v>
      </c>
      <c r="E12" s="337">
        <v>351.05</v>
      </c>
      <c r="G12" s="10"/>
      <c r="H12" s="10"/>
      <c r="I12" s="10"/>
      <c r="J12" s="10"/>
    </row>
    <row r="13" spans="1:12" x14ac:dyDescent="0.3">
      <c r="A13" s="334">
        <v>35065</v>
      </c>
      <c r="B13" s="335">
        <v>420</v>
      </c>
      <c r="C13" s="336">
        <v>130</v>
      </c>
      <c r="D13" s="337">
        <v>230</v>
      </c>
      <c r="E13" s="337">
        <v>625</v>
      </c>
      <c r="G13" s="10"/>
      <c r="H13" s="10"/>
      <c r="I13" s="10"/>
      <c r="J13" s="10"/>
    </row>
    <row r="14" spans="1:12" x14ac:dyDescent="0.3">
      <c r="A14" s="334">
        <v>35796</v>
      </c>
      <c r="B14" s="335">
        <v>454</v>
      </c>
      <c r="C14" s="336">
        <v>137.80000000000001</v>
      </c>
      <c r="D14" s="337">
        <v>243.8</v>
      </c>
      <c r="E14" s="337">
        <v>662.5</v>
      </c>
      <c r="G14" s="10"/>
      <c r="H14" s="10"/>
      <c r="I14" s="10"/>
      <c r="J14" s="10"/>
    </row>
    <row r="15" spans="1:12" x14ac:dyDescent="0.3">
      <c r="A15" s="334">
        <v>36526</v>
      </c>
      <c r="B15" s="335">
        <v>511.29</v>
      </c>
      <c r="C15" s="336">
        <v>153</v>
      </c>
      <c r="D15" s="337">
        <v>267.44</v>
      </c>
      <c r="E15" s="337">
        <v>709.79</v>
      </c>
      <c r="G15" s="10"/>
      <c r="H15" s="10"/>
      <c r="I15" s="10"/>
      <c r="J15" s="10"/>
    </row>
    <row r="16" spans="1:12" x14ac:dyDescent="0.3">
      <c r="A16" s="334">
        <v>37257</v>
      </c>
      <c r="B16" s="335">
        <v>559</v>
      </c>
      <c r="C16" s="336">
        <v>184</v>
      </c>
      <c r="D16" s="337">
        <v>321</v>
      </c>
      <c r="E16" s="337">
        <v>748</v>
      </c>
      <c r="G16" s="10"/>
      <c r="H16" s="10"/>
      <c r="I16" s="10"/>
      <c r="J16" s="10"/>
    </row>
    <row r="17" spans="1:5" x14ac:dyDescent="0.3">
      <c r="A17" s="245"/>
      <c r="B17" s="245"/>
      <c r="C17" s="13"/>
      <c r="D17" s="146"/>
      <c r="E17" s="146"/>
    </row>
    <row r="18" spans="1:5" x14ac:dyDescent="0.3">
      <c r="A18" s="13"/>
      <c r="B18" s="13"/>
      <c r="C18" s="13"/>
      <c r="D18" s="146"/>
      <c r="E18" s="146"/>
    </row>
    <row r="19" spans="1:5" x14ac:dyDescent="0.3">
      <c r="A19" s="13"/>
      <c r="B19" s="13"/>
      <c r="C19" s="13"/>
      <c r="D19" s="146"/>
      <c r="E19" s="146"/>
    </row>
    <row r="20" spans="1:5" x14ac:dyDescent="0.3">
      <c r="A20" s="13"/>
      <c r="B20" s="13"/>
      <c r="C20" s="13"/>
      <c r="D20" s="146"/>
      <c r="E20" s="146"/>
    </row>
    <row r="21" spans="1:5" x14ac:dyDescent="0.3">
      <c r="A21" s="13"/>
      <c r="B21" s="13"/>
      <c r="C21" s="13"/>
      <c r="D21" s="146"/>
      <c r="E21" s="146"/>
    </row>
    <row r="22" spans="1:5" x14ac:dyDescent="0.3">
      <c r="A22" s="13"/>
      <c r="B22" s="13"/>
      <c r="C22" s="13"/>
      <c r="D22" s="146"/>
      <c r="E22" s="146"/>
    </row>
    <row r="23" spans="1:5" x14ac:dyDescent="0.3">
      <c r="A23" s="13"/>
      <c r="B23" s="13"/>
      <c r="C23" s="13"/>
      <c r="D23" s="146"/>
      <c r="E23" s="146"/>
    </row>
    <row r="24" spans="1:5" x14ac:dyDescent="0.3">
      <c r="A24" s="13"/>
      <c r="B24" s="13"/>
      <c r="C24" s="13"/>
      <c r="D24" s="146"/>
      <c r="E24" s="146"/>
    </row>
    <row r="26" spans="1:5" ht="66.75" customHeight="1" x14ac:dyDescent="0.35">
      <c r="A26" s="1699" t="s">
        <v>2175</v>
      </c>
      <c r="B26" s="1699"/>
      <c r="C26" s="1699"/>
      <c r="D26" s="1699"/>
      <c r="E26" s="1699"/>
    </row>
    <row r="27" spans="1:5" ht="15" x14ac:dyDescent="0.3">
      <c r="A27" s="1699" t="s">
        <v>2177</v>
      </c>
      <c r="B27" s="1699"/>
      <c r="C27" s="1699"/>
      <c r="D27" s="1699"/>
      <c r="E27" s="1699"/>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sqref="A1:B1"/>
    </sheetView>
  </sheetViews>
  <sheetFormatPr defaultColWidth="9.1796875" defaultRowHeight="13" x14ac:dyDescent="0.3"/>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35">
      <c r="A1" s="1701" t="s">
        <v>1793</v>
      </c>
      <c r="B1" s="1701"/>
      <c r="C1" s="518"/>
      <c r="D1" s="518"/>
      <c r="E1" s="518"/>
      <c r="F1" s="519"/>
      <c r="G1" s="518"/>
      <c r="H1" s="518"/>
      <c r="I1" s="518"/>
      <c r="J1" s="518"/>
      <c r="K1" s="518"/>
      <c r="L1" s="518"/>
      <c r="M1" s="518"/>
      <c r="N1" s="518"/>
      <c r="O1" s="519"/>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row>
    <row r="2" spans="1:79" ht="12" customHeight="1" x14ac:dyDescent="0.3">
      <c r="A2" s="1704"/>
      <c r="B2" s="1704"/>
      <c r="C2" s="17"/>
      <c r="D2" s="167"/>
      <c r="E2" s="17"/>
      <c r="F2" s="167"/>
      <c r="G2" s="17"/>
      <c r="H2" s="167"/>
      <c r="I2" s="17"/>
      <c r="J2" s="340"/>
      <c r="K2" s="340"/>
      <c r="L2" s="340"/>
      <c r="M2" s="340"/>
      <c r="N2" s="340"/>
      <c r="O2" s="148"/>
    </row>
    <row r="3" spans="1:79" ht="24" customHeight="1" x14ac:dyDescent="0.3">
      <c r="A3" s="1705" t="s">
        <v>813</v>
      </c>
      <c r="B3" s="1706"/>
      <c r="C3" s="17"/>
      <c r="D3" s="167"/>
      <c r="E3" s="17"/>
      <c r="F3" s="167"/>
      <c r="G3" s="17"/>
      <c r="H3" s="167"/>
      <c r="I3" s="17"/>
      <c r="J3" s="340"/>
      <c r="K3" s="340"/>
      <c r="L3" s="340"/>
      <c r="M3" s="340"/>
      <c r="N3" s="340"/>
      <c r="O3" s="148"/>
    </row>
    <row r="4" spans="1:79" ht="18" customHeight="1" x14ac:dyDescent="0.3">
      <c r="A4" s="341" t="s">
        <v>1794</v>
      </c>
      <c r="B4" s="341" t="s">
        <v>1795</v>
      </c>
      <c r="C4" s="17"/>
      <c r="D4" s="167"/>
      <c r="E4" s="17"/>
      <c r="F4" s="167"/>
      <c r="G4" s="17"/>
      <c r="H4" s="167"/>
      <c r="I4" s="17"/>
      <c r="J4" s="340"/>
      <c r="K4" s="340"/>
      <c r="L4" s="340"/>
      <c r="M4" s="340"/>
      <c r="N4" s="340"/>
      <c r="O4" s="148"/>
    </row>
    <row r="5" spans="1:79" ht="18" customHeight="1" x14ac:dyDescent="0.3">
      <c r="A5" s="292" t="s">
        <v>529</v>
      </c>
      <c r="B5" s="342">
        <v>0</v>
      </c>
      <c r="C5" s="17"/>
      <c r="D5" s="167"/>
      <c r="E5" s="17"/>
      <c r="F5" s="167"/>
      <c r="G5" s="17"/>
      <c r="H5" s="167"/>
      <c r="I5" s="17"/>
      <c r="J5" s="340"/>
      <c r="K5" s="340"/>
      <c r="L5" s="340"/>
      <c r="M5" s="340"/>
      <c r="N5" s="340"/>
      <c r="O5" s="148"/>
    </row>
    <row r="6" spans="1:79" ht="18" customHeight="1" x14ac:dyDescent="0.3">
      <c r="A6" s="292" t="s">
        <v>1796</v>
      </c>
      <c r="B6" s="342">
        <v>0.05</v>
      </c>
      <c r="C6" s="17"/>
      <c r="D6" s="167"/>
      <c r="E6" s="17"/>
      <c r="F6" s="167"/>
      <c r="G6" s="17"/>
      <c r="H6" s="167"/>
      <c r="I6" s="17"/>
      <c r="J6" s="340"/>
      <c r="K6" s="340"/>
      <c r="L6" s="340"/>
      <c r="M6" s="340"/>
      <c r="N6" s="340"/>
      <c r="O6" s="148"/>
    </row>
    <row r="7" spans="1:79" ht="18" customHeight="1" x14ac:dyDescent="0.3">
      <c r="A7" s="292" t="s">
        <v>1797</v>
      </c>
      <c r="B7" s="342">
        <v>0.1</v>
      </c>
      <c r="C7" s="17"/>
      <c r="D7" s="167"/>
      <c r="E7" s="17"/>
      <c r="F7" s="167"/>
      <c r="G7" s="17"/>
      <c r="H7" s="167"/>
      <c r="I7" s="17"/>
      <c r="J7" s="340"/>
      <c r="K7" s="340"/>
      <c r="L7" s="340"/>
      <c r="M7" s="340"/>
      <c r="N7" s="340"/>
      <c r="O7" s="148"/>
    </row>
    <row r="8" spans="1:79" ht="18" customHeight="1" x14ac:dyDescent="0.3">
      <c r="A8" s="292" t="s">
        <v>701</v>
      </c>
      <c r="B8" s="342">
        <v>0.2</v>
      </c>
      <c r="C8" s="17"/>
      <c r="D8" s="167"/>
      <c r="E8" s="17"/>
      <c r="F8" s="167"/>
      <c r="G8" s="17"/>
      <c r="H8" s="167"/>
      <c r="I8" s="17"/>
      <c r="J8" s="340"/>
      <c r="K8" s="340"/>
      <c r="L8" s="340"/>
      <c r="M8" s="340"/>
      <c r="N8" s="340"/>
      <c r="O8" s="148"/>
    </row>
    <row r="9" spans="1:79" ht="18" customHeight="1" x14ac:dyDescent="0.3">
      <c r="A9" s="520" t="s">
        <v>1798</v>
      </c>
      <c r="B9" s="520">
        <v>0.3</v>
      </c>
      <c r="C9" s="17"/>
      <c r="D9" s="17"/>
      <c r="E9" s="17"/>
      <c r="F9" s="521"/>
      <c r="G9" s="17"/>
      <c r="H9" s="17"/>
      <c r="I9" s="17"/>
      <c r="J9" s="17"/>
      <c r="K9" s="17"/>
      <c r="L9" s="17"/>
      <c r="M9" s="17"/>
      <c r="N9" s="17"/>
      <c r="O9" s="521"/>
    </row>
    <row r="10" spans="1:79" ht="18" customHeight="1" x14ac:dyDescent="0.3">
      <c r="A10" s="520" t="s">
        <v>1799</v>
      </c>
      <c r="B10" s="520">
        <v>0.4</v>
      </c>
      <c r="C10" s="17"/>
      <c r="D10" s="17"/>
      <c r="E10" s="17"/>
      <c r="F10" s="521"/>
      <c r="G10" s="17"/>
      <c r="H10" s="17"/>
      <c r="I10" s="17"/>
      <c r="J10" s="17"/>
      <c r="K10" s="17"/>
      <c r="L10" s="17"/>
      <c r="M10" s="17"/>
      <c r="N10" s="17"/>
      <c r="O10" s="521"/>
    </row>
    <row r="11" spans="1:79" ht="18" customHeight="1" x14ac:dyDescent="0.3">
      <c r="A11" s="520" t="s">
        <v>702</v>
      </c>
      <c r="B11" s="520">
        <v>0.5</v>
      </c>
      <c r="C11" s="17"/>
      <c r="D11" s="17"/>
      <c r="E11" s="17"/>
      <c r="F11" s="521"/>
      <c r="G11" s="17"/>
      <c r="H11" s="17"/>
      <c r="I11" s="17"/>
      <c r="J11" s="17"/>
      <c r="K11" s="17"/>
      <c r="L11" s="17"/>
      <c r="M11" s="17"/>
      <c r="N11" s="17"/>
      <c r="O11" s="521"/>
    </row>
    <row r="12" spans="1:79" ht="18" customHeight="1" x14ac:dyDescent="0.3">
      <c r="A12" s="520" t="s">
        <v>304</v>
      </c>
      <c r="B12" s="520">
        <v>0.6</v>
      </c>
      <c r="C12" s="17"/>
      <c r="D12" s="17"/>
      <c r="E12" s="17"/>
      <c r="F12" s="521"/>
      <c r="G12" s="17"/>
      <c r="H12" s="17"/>
      <c r="I12" s="17"/>
      <c r="J12" s="17"/>
      <c r="K12" s="17"/>
      <c r="L12" s="17"/>
      <c r="M12" s="17"/>
      <c r="N12" s="17"/>
      <c r="O12" s="521"/>
    </row>
    <row r="13" spans="1:79" ht="18" customHeight="1" x14ac:dyDescent="0.3">
      <c r="A13" s="520" t="s">
        <v>305</v>
      </c>
      <c r="B13" s="520">
        <v>0.7</v>
      </c>
      <c r="C13" s="17"/>
      <c r="D13" s="17"/>
      <c r="E13" s="17"/>
      <c r="F13" s="521"/>
      <c r="G13" s="17"/>
      <c r="H13" s="17"/>
      <c r="I13" s="17"/>
      <c r="J13" s="17"/>
      <c r="K13" s="17"/>
      <c r="L13" s="17"/>
      <c r="M13" s="17"/>
      <c r="N13" s="17"/>
      <c r="O13" s="521"/>
    </row>
    <row r="14" spans="1:79" ht="18" customHeight="1" x14ac:dyDescent="0.3">
      <c r="A14" s="520" t="s">
        <v>367</v>
      </c>
      <c r="B14" s="520">
        <v>0.75</v>
      </c>
      <c r="C14" s="17"/>
      <c r="D14" s="17"/>
      <c r="E14" s="17"/>
      <c r="F14" s="521"/>
      <c r="G14" s="17"/>
      <c r="H14" s="17"/>
      <c r="I14" s="17"/>
      <c r="J14" s="17"/>
      <c r="K14" s="17"/>
      <c r="L14" s="17"/>
      <c r="M14" s="17"/>
      <c r="N14" s="17"/>
      <c r="O14" s="521"/>
    </row>
    <row r="15" spans="1:79" ht="18" customHeight="1" x14ac:dyDescent="0.3">
      <c r="A15" s="520" t="s">
        <v>306</v>
      </c>
      <c r="B15" s="520">
        <v>0.8</v>
      </c>
      <c r="C15" s="17"/>
      <c r="D15" s="17"/>
      <c r="E15" s="17"/>
      <c r="F15" s="521"/>
      <c r="G15" s="17"/>
      <c r="H15" s="17"/>
      <c r="I15" s="17"/>
      <c r="J15" s="17"/>
      <c r="K15" s="17"/>
      <c r="L15" s="17"/>
      <c r="M15" s="17"/>
      <c r="N15" s="17"/>
      <c r="O15" s="521"/>
    </row>
    <row r="16" spans="1:79" ht="18" customHeight="1" x14ac:dyDescent="0.3">
      <c r="A16" s="520" t="s">
        <v>307</v>
      </c>
      <c r="B16" s="520">
        <v>0.85</v>
      </c>
      <c r="C16" s="17"/>
      <c r="D16" s="17"/>
      <c r="E16" s="17"/>
      <c r="F16" s="521"/>
      <c r="G16" s="17"/>
      <c r="H16" s="17"/>
      <c r="I16" s="17"/>
      <c r="J16" s="17"/>
      <c r="K16" s="17"/>
      <c r="L16" s="17"/>
      <c r="M16" s="17"/>
      <c r="N16" s="17"/>
      <c r="O16" s="521"/>
    </row>
    <row r="17" spans="1:15" ht="18" customHeight="1" x14ac:dyDescent="0.3">
      <c r="A17" s="520" t="s">
        <v>368</v>
      </c>
      <c r="B17" s="520">
        <v>0.9</v>
      </c>
      <c r="C17" s="17"/>
      <c r="D17" s="17"/>
      <c r="E17" s="17"/>
      <c r="F17" s="521"/>
      <c r="G17" s="17"/>
      <c r="H17" s="17"/>
      <c r="I17" s="17"/>
      <c r="J17" s="17"/>
      <c r="K17" s="17"/>
      <c r="L17" s="17"/>
      <c r="M17" s="17"/>
      <c r="N17" s="17"/>
      <c r="O17" s="521"/>
    </row>
    <row r="18" spans="1:15" ht="18" customHeight="1" x14ac:dyDescent="0.3">
      <c r="A18" s="520" t="s">
        <v>308</v>
      </c>
      <c r="B18" s="520">
        <v>0.95</v>
      </c>
      <c r="C18" s="17"/>
      <c r="D18" s="17"/>
      <c r="E18" s="17"/>
      <c r="F18" s="521"/>
      <c r="G18" s="17"/>
      <c r="H18" s="17"/>
      <c r="I18" s="17"/>
      <c r="J18" s="17"/>
      <c r="K18" s="17"/>
      <c r="L18" s="17"/>
      <c r="M18" s="17"/>
      <c r="N18" s="17"/>
      <c r="O18" s="521"/>
    </row>
    <row r="19" spans="1:15" ht="18" customHeight="1" x14ac:dyDescent="0.3">
      <c r="A19" s="520" t="s">
        <v>1903</v>
      </c>
      <c r="B19" s="520">
        <v>1</v>
      </c>
      <c r="C19" s="17"/>
      <c r="D19" s="17"/>
      <c r="E19" s="17"/>
      <c r="F19" s="521"/>
      <c r="G19" s="17"/>
      <c r="H19" s="17"/>
      <c r="I19" s="17"/>
      <c r="J19" s="17"/>
      <c r="K19" s="17"/>
      <c r="L19" s="17"/>
      <c r="M19" s="17"/>
      <c r="N19" s="17"/>
      <c r="O19" s="521"/>
    </row>
    <row r="20" spans="1:15" ht="23.25" customHeight="1" x14ac:dyDescent="0.3">
      <c r="A20" s="1704" t="s">
        <v>309</v>
      </c>
      <c r="B20" s="1704"/>
      <c r="C20" s="17"/>
      <c r="D20" s="17"/>
      <c r="E20" s="17"/>
      <c r="F20" s="521"/>
      <c r="G20" s="17"/>
      <c r="H20" s="17"/>
      <c r="I20" s="17"/>
      <c r="J20" s="17"/>
      <c r="K20" s="17"/>
      <c r="L20" s="17"/>
      <c r="M20" s="17"/>
      <c r="N20" s="17"/>
      <c r="O20" s="521"/>
    </row>
    <row r="21" spans="1:15" x14ac:dyDescent="0.3">
      <c r="A21" s="17"/>
      <c r="B21" s="17"/>
      <c r="C21" s="17"/>
      <c r="D21" s="17"/>
      <c r="E21" s="17"/>
      <c r="F21" s="521"/>
      <c r="G21" s="17"/>
      <c r="H21" s="17"/>
      <c r="I21" s="17"/>
      <c r="J21" s="17"/>
      <c r="K21" s="17"/>
      <c r="L21" s="17"/>
      <c r="M21" s="17"/>
      <c r="N21" s="17"/>
      <c r="O21" s="521"/>
    </row>
    <row r="22" spans="1:15" x14ac:dyDescent="0.3">
      <c r="A22" s="522" t="s">
        <v>1139</v>
      </c>
      <c r="B22" s="17"/>
      <c r="C22" s="17"/>
      <c r="D22" s="17"/>
      <c r="E22" s="17"/>
      <c r="F22" s="521"/>
      <c r="G22" s="17"/>
      <c r="H22" s="17"/>
      <c r="I22" s="17"/>
      <c r="J22" s="17"/>
      <c r="K22" s="17"/>
      <c r="L22" s="17"/>
      <c r="M22" s="17"/>
      <c r="N22" s="17"/>
      <c r="O22" s="521"/>
    </row>
    <row r="23" spans="1:15" x14ac:dyDescent="0.3">
      <c r="A23" s="17"/>
      <c r="B23" s="17"/>
      <c r="C23" s="17"/>
      <c r="D23" s="17"/>
      <c r="E23" s="17"/>
      <c r="F23" s="521"/>
      <c r="G23" s="17"/>
      <c r="H23" s="17"/>
      <c r="I23" s="17"/>
      <c r="J23" s="17"/>
      <c r="K23" s="17"/>
      <c r="L23" s="17"/>
      <c r="M23" s="17"/>
      <c r="N23" s="17"/>
      <c r="O23" s="521"/>
    </row>
    <row r="24" spans="1:15" ht="34.5" customHeight="1" x14ac:dyDescent="0.3">
      <c r="A24" s="523" t="s">
        <v>1976</v>
      </c>
      <c r="B24" s="17"/>
      <c r="C24" s="17"/>
      <c r="D24" s="17"/>
      <c r="E24" s="17"/>
      <c r="F24" s="521"/>
      <c r="G24" s="17"/>
      <c r="H24" s="17"/>
      <c r="I24" s="17"/>
      <c r="J24" s="17"/>
      <c r="K24" s="17"/>
      <c r="L24" s="17"/>
      <c r="M24" s="17"/>
      <c r="N24" s="17"/>
      <c r="O24" s="521"/>
    </row>
    <row r="25" spans="1:15" ht="26" x14ac:dyDescent="0.3">
      <c r="A25" s="523" t="s">
        <v>213</v>
      </c>
      <c r="B25" s="17"/>
      <c r="C25" s="17"/>
      <c r="D25" s="17"/>
      <c r="E25" s="17"/>
      <c r="F25" s="521"/>
      <c r="G25" s="17"/>
      <c r="H25" s="17"/>
      <c r="I25" s="17"/>
      <c r="J25" s="17"/>
      <c r="K25" s="17"/>
      <c r="L25" s="17"/>
      <c r="M25" s="17"/>
      <c r="N25" s="17"/>
      <c r="O25" s="521"/>
    </row>
    <row r="26" spans="1:15" x14ac:dyDescent="0.3">
      <c r="A26" s="523" t="s">
        <v>214</v>
      </c>
      <c r="B26" s="17"/>
      <c r="C26" s="17"/>
      <c r="D26" s="17"/>
      <c r="E26" s="17"/>
      <c r="F26" s="521"/>
      <c r="G26" s="17"/>
      <c r="H26" s="17"/>
      <c r="I26" s="17"/>
      <c r="J26" s="17"/>
      <c r="K26" s="17"/>
      <c r="L26" s="17"/>
      <c r="M26" s="17"/>
      <c r="N26" s="17"/>
      <c r="O26" s="521"/>
    </row>
    <row r="27" spans="1:15" x14ac:dyDescent="0.3">
      <c r="A27" s="524" t="s">
        <v>215</v>
      </c>
      <c r="B27" s="17"/>
      <c r="C27" s="17"/>
      <c r="D27" s="17"/>
      <c r="E27" s="17"/>
      <c r="F27" s="521"/>
      <c r="G27" s="17"/>
      <c r="H27" s="17"/>
      <c r="I27" s="17"/>
      <c r="J27" s="17"/>
      <c r="K27" s="17"/>
      <c r="L27" s="17"/>
      <c r="M27" s="17"/>
      <c r="N27" s="17"/>
      <c r="O27" s="521"/>
    </row>
    <row r="28" spans="1:15" x14ac:dyDescent="0.3">
      <c r="A28" s="332" t="s">
        <v>216</v>
      </c>
      <c r="B28" s="17"/>
      <c r="C28" s="17"/>
      <c r="D28" s="17"/>
      <c r="E28" s="17"/>
      <c r="F28" s="521"/>
      <c r="G28" s="17"/>
      <c r="H28" s="17"/>
      <c r="I28" s="17"/>
      <c r="J28" s="17"/>
      <c r="K28" s="17"/>
      <c r="L28" s="17"/>
      <c r="M28" s="17"/>
      <c r="N28" s="17"/>
      <c r="O28" s="521"/>
    </row>
    <row r="29" spans="1:15" x14ac:dyDescent="0.3">
      <c r="A29" s="332" t="s">
        <v>217</v>
      </c>
      <c r="B29" s="17"/>
      <c r="C29" s="17"/>
      <c r="D29" s="17"/>
      <c r="E29" s="17"/>
      <c r="F29" s="521"/>
      <c r="G29" s="17"/>
      <c r="H29" s="17"/>
      <c r="I29" s="17"/>
      <c r="J29" s="17"/>
      <c r="K29" s="17"/>
      <c r="L29" s="17"/>
      <c r="M29" s="17"/>
      <c r="N29" s="17"/>
      <c r="O29" s="521"/>
    </row>
    <row r="30" spans="1:15" x14ac:dyDescent="0.3">
      <c r="A30" s="332" t="s">
        <v>218</v>
      </c>
      <c r="B30" s="17"/>
      <c r="C30" s="17"/>
      <c r="D30" s="17"/>
      <c r="E30" s="17"/>
      <c r="F30" s="521"/>
      <c r="G30" s="17"/>
      <c r="H30" s="17"/>
      <c r="I30" s="17"/>
      <c r="J30" s="17"/>
      <c r="K30" s="17"/>
      <c r="L30" s="17"/>
      <c r="M30" s="17"/>
      <c r="N30" s="17"/>
      <c r="O30" s="521"/>
    </row>
    <row r="31" spans="1:15" x14ac:dyDescent="0.3">
      <c r="A31" s="332" t="s">
        <v>219</v>
      </c>
      <c r="B31" s="17"/>
      <c r="C31" s="17"/>
      <c r="D31" s="17"/>
      <c r="E31" s="17"/>
      <c r="F31" s="521"/>
      <c r="G31" s="17"/>
      <c r="H31" s="17"/>
      <c r="I31" s="17"/>
      <c r="J31" s="17"/>
      <c r="K31" s="17"/>
      <c r="L31" s="17"/>
      <c r="M31" s="17"/>
      <c r="N31" s="17"/>
      <c r="O31" s="521"/>
    </row>
    <row r="32" spans="1:15" x14ac:dyDescent="0.3">
      <c r="A32" s="332" t="s">
        <v>1495</v>
      </c>
      <c r="B32" s="17"/>
      <c r="C32" s="17"/>
      <c r="D32" s="17"/>
      <c r="E32" s="17"/>
      <c r="F32" s="521"/>
      <c r="G32" s="17"/>
      <c r="H32" s="17"/>
      <c r="I32" s="17"/>
      <c r="J32" s="17"/>
      <c r="K32" s="17"/>
      <c r="L32" s="17"/>
      <c r="M32" s="17"/>
      <c r="N32" s="17"/>
      <c r="O32" s="521"/>
    </row>
    <row r="33" spans="1:15" x14ac:dyDescent="0.3">
      <c r="A33" s="332" t="s">
        <v>1496</v>
      </c>
      <c r="B33" s="17"/>
      <c r="C33" s="17"/>
      <c r="D33" s="17"/>
      <c r="E33" s="17"/>
      <c r="F33" s="521"/>
      <c r="G33" s="17"/>
      <c r="H33" s="17"/>
      <c r="I33" s="17"/>
      <c r="J33" s="17"/>
      <c r="K33" s="17"/>
      <c r="L33" s="17"/>
      <c r="M33" s="17"/>
      <c r="N33" s="17"/>
      <c r="O33" s="521"/>
    </row>
    <row r="34" spans="1:15" x14ac:dyDescent="0.3">
      <c r="A34" s="332" t="s">
        <v>1497</v>
      </c>
      <c r="B34" s="17"/>
      <c r="C34" s="17"/>
      <c r="D34" s="17"/>
      <c r="E34" s="17"/>
      <c r="F34" s="521"/>
      <c r="G34" s="17"/>
      <c r="H34" s="17"/>
      <c r="I34" s="17"/>
      <c r="J34" s="17"/>
      <c r="K34" s="17"/>
      <c r="L34" s="17"/>
      <c r="M34" s="17"/>
      <c r="N34" s="17"/>
      <c r="O34" s="521"/>
    </row>
    <row r="35" spans="1:15" x14ac:dyDescent="0.3">
      <c r="A35" s="332" t="s">
        <v>1657</v>
      </c>
      <c r="B35" s="17"/>
      <c r="C35" s="17"/>
      <c r="D35" s="17"/>
      <c r="E35" s="17"/>
      <c r="F35" s="521"/>
      <c r="G35" s="17"/>
      <c r="H35" s="17"/>
      <c r="I35" s="17"/>
      <c r="J35" s="17"/>
      <c r="K35" s="17"/>
      <c r="L35" s="17"/>
      <c r="M35" s="17"/>
      <c r="N35" s="17"/>
      <c r="O35" s="521"/>
    </row>
    <row r="36" spans="1:15" x14ac:dyDescent="0.3">
      <c r="A36" s="332" t="s">
        <v>1377</v>
      </c>
      <c r="B36" s="17"/>
      <c r="C36" s="17"/>
      <c r="D36" s="17"/>
      <c r="E36" s="17"/>
      <c r="F36" s="521"/>
      <c r="G36" s="17"/>
      <c r="H36" s="17"/>
      <c r="I36" s="17"/>
      <c r="J36" s="17"/>
      <c r="K36" s="17"/>
      <c r="L36" s="17"/>
      <c r="M36" s="17"/>
      <c r="N36" s="17"/>
      <c r="O36" s="521"/>
    </row>
    <row r="37" spans="1:15" x14ac:dyDescent="0.3">
      <c r="A37" s="17"/>
      <c r="B37" s="17"/>
      <c r="C37" s="17"/>
      <c r="D37" s="17"/>
      <c r="E37" s="17"/>
      <c r="F37" s="521"/>
      <c r="G37" s="17"/>
      <c r="H37" s="17"/>
      <c r="I37" s="17"/>
      <c r="J37" s="17"/>
      <c r="K37" s="17"/>
      <c r="L37" s="17"/>
      <c r="M37" s="17"/>
      <c r="N37" s="17"/>
      <c r="O37" s="521"/>
    </row>
    <row r="38" spans="1:15" ht="26" x14ac:dyDescent="0.3">
      <c r="A38" s="523" t="s">
        <v>1501</v>
      </c>
      <c r="B38" s="17"/>
      <c r="C38" s="17"/>
      <c r="D38" s="17"/>
      <c r="E38" s="17"/>
      <c r="F38" s="521"/>
      <c r="G38" s="17"/>
      <c r="H38" s="17"/>
      <c r="I38" s="17"/>
      <c r="J38" s="17"/>
      <c r="K38" s="17"/>
      <c r="L38" s="17"/>
      <c r="M38" s="17"/>
      <c r="N38" s="17"/>
      <c r="O38" s="521"/>
    </row>
    <row r="39" spans="1:15" ht="18" customHeight="1" x14ac:dyDescent="0.3">
      <c r="A39" s="523" t="s">
        <v>703</v>
      </c>
      <c r="B39" s="17"/>
      <c r="C39" s="17"/>
      <c r="D39" s="17"/>
      <c r="E39" s="17"/>
      <c r="F39" s="521"/>
      <c r="G39" s="17"/>
      <c r="H39" s="17"/>
      <c r="I39" s="17"/>
      <c r="J39" s="17"/>
      <c r="K39" s="17"/>
      <c r="L39" s="17"/>
      <c r="M39" s="17"/>
      <c r="N39" s="17"/>
      <c r="O39" s="521"/>
    </row>
    <row r="40" spans="1:15" ht="65" x14ac:dyDescent="0.3">
      <c r="A40" s="523" t="s">
        <v>1977</v>
      </c>
      <c r="B40" s="17"/>
      <c r="C40" s="17"/>
      <c r="D40" s="17"/>
      <c r="E40" s="17"/>
      <c r="F40" s="521"/>
      <c r="G40" s="17"/>
      <c r="H40" s="17"/>
      <c r="I40" s="17"/>
      <c r="J40" s="17"/>
      <c r="K40" s="17"/>
      <c r="L40" s="17"/>
      <c r="M40" s="17"/>
      <c r="N40" s="17"/>
      <c r="O40" s="521"/>
    </row>
    <row r="41" spans="1:15" ht="27" customHeight="1" x14ac:dyDescent="0.3">
      <c r="A41" s="523" t="s">
        <v>35</v>
      </c>
      <c r="B41" s="17"/>
      <c r="C41" s="17"/>
      <c r="D41" s="17"/>
      <c r="E41" s="17"/>
      <c r="F41" s="521"/>
      <c r="G41" s="17"/>
      <c r="H41" s="17"/>
      <c r="I41" s="17"/>
      <c r="J41" s="17"/>
      <c r="K41" s="17"/>
      <c r="L41" s="17"/>
      <c r="M41" s="17"/>
      <c r="N41" s="17"/>
      <c r="O41" s="521"/>
    </row>
    <row r="42" spans="1:15" ht="26" x14ac:dyDescent="0.3">
      <c r="A42" s="523" t="s">
        <v>740</v>
      </c>
      <c r="B42" s="17"/>
      <c r="C42" s="17"/>
      <c r="D42" s="17"/>
      <c r="E42" s="17"/>
      <c r="F42" s="521"/>
      <c r="G42" s="17"/>
      <c r="H42" s="17"/>
      <c r="I42" s="17"/>
      <c r="J42" s="17"/>
      <c r="K42" s="17"/>
      <c r="L42" s="17"/>
      <c r="M42" s="17"/>
      <c r="N42" s="17"/>
      <c r="O42" s="521"/>
    </row>
    <row r="43" spans="1:15" x14ac:dyDescent="0.3">
      <c r="A43" s="523" t="s">
        <v>36</v>
      </c>
      <c r="B43" s="525"/>
      <c r="C43" s="17"/>
      <c r="D43" s="17"/>
      <c r="E43" s="17"/>
      <c r="F43" s="521"/>
      <c r="G43" s="17"/>
      <c r="H43" s="17"/>
      <c r="I43" s="17"/>
      <c r="J43" s="17"/>
      <c r="K43" s="17"/>
      <c r="L43" s="17"/>
      <c r="M43" s="17"/>
      <c r="N43" s="17"/>
      <c r="O43" s="521"/>
    </row>
    <row r="44" spans="1:15" ht="26" x14ac:dyDescent="0.3">
      <c r="A44" s="523" t="s">
        <v>174</v>
      </c>
      <c r="B44" s="525"/>
      <c r="C44" s="17"/>
      <c r="D44" s="17"/>
      <c r="E44" s="17"/>
      <c r="F44" s="521"/>
      <c r="G44" s="17"/>
      <c r="H44" s="17"/>
      <c r="I44" s="17"/>
      <c r="J44" s="17"/>
      <c r="K44" s="17"/>
      <c r="L44" s="17"/>
      <c r="M44" s="17"/>
      <c r="N44" s="17"/>
      <c r="O44" s="521"/>
    </row>
    <row r="45" spans="1:15" x14ac:dyDescent="0.3">
      <c r="A45" s="17"/>
      <c r="B45" s="525"/>
      <c r="C45" s="17"/>
      <c r="D45" s="17"/>
      <c r="E45" s="17"/>
      <c r="F45" s="521"/>
      <c r="G45" s="17"/>
      <c r="H45" s="17"/>
      <c r="I45" s="17"/>
      <c r="J45" s="17"/>
      <c r="K45" s="17"/>
      <c r="L45" s="17"/>
      <c r="M45" s="17"/>
      <c r="N45" s="17"/>
      <c r="O45" s="521"/>
    </row>
    <row r="46" spans="1:15" x14ac:dyDescent="0.3">
      <c r="A46" s="522" t="s">
        <v>770</v>
      </c>
      <c r="B46" s="522" t="s">
        <v>771</v>
      </c>
      <c r="C46" s="17"/>
      <c r="D46" s="17"/>
      <c r="E46" s="17"/>
      <c r="F46" s="521"/>
      <c r="G46" s="17"/>
      <c r="H46" s="17"/>
      <c r="I46" s="17"/>
      <c r="J46" s="17"/>
      <c r="K46" s="17"/>
      <c r="L46" s="17"/>
      <c r="M46" s="17"/>
      <c r="N46" s="17"/>
      <c r="O46" s="521"/>
    </row>
    <row r="47" spans="1:15" ht="18" customHeight="1" x14ac:dyDescent="0.3">
      <c r="A47" s="17" t="s">
        <v>175</v>
      </c>
      <c r="B47" s="1702" t="s">
        <v>1974</v>
      </c>
      <c r="C47" s="1702"/>
      <c r="D47" s="1702"/>
      <c r="E47" s="1702"/>
      <c r="F47" s="1702"/>
      <c r="G47" s="1702"/>
      <c r="H47" s="1702"/>
      <c r="I47" s="1702"/>
      <c r="J47" s="1702"/>
      <c r="K47" s="1702"/>
      <c r="L47" s="1702"/>
      <c r="M47" s="17"/>
      <c r="N47" s="17"/>
      <c r="O47" s="521"/>
    </row>
    <row r="48" spans="1:15" ht="15" customHeight="1" x14ac:dyDescent="0.3">
      <c r="A48" s="17"/>
      <c r="B48" s="1703" t="s">
        <v>1975</v>
      </c>
      <c r="C48" s="515"/>
      <c r="D48" s="515" t="s">
        <v>359</v>
      </c>
      <c r="E48" s="515" t="s">
        <v>354</v>
      </c>
      <c r="F48" s="515" t="s">
        <v>360</v>
      </c>
      <c r="G48" s="515" t="s">
        <v>355</v>
      </c>
      <c r="H48" s="515" t="s">
        <v>361</v>
      </c>
      <c r="I48" s="515" t="s">
        <v>356</v>
      </c>
      <c r="J48" s="515" t="s">
        <v>362</v>
      </c>
      <c r="K48" s="515" t="s">
        <v>357</v>
      </c>
      <c r="L48" s="515" t="s">
        <v>358</v>
      </c>
      <c r="M48" s="17"/>
      <c r="N48" s="17"/>
      <c r="O48" s="521"/>
    </row>
    <row r="49" spans="1:15" x14ac:dyDescent="0.3">
      <c r="A49" s="17" t="s">
        <v>181</v>
      </c>
      <c r="B49" s="951"/>
      <c r="C49" s="515" t="s">
        <v>354</v>
      </c>
      <c r="D49" s="515">
        <v>2</v>
      </c>
      <c r="E49" s="515">
        <v>1</v>
      </c>
      <c r="F49" s="515">
        <v>1</v>
      </c>
      <c r="G49" s="515">
        <v>1</v>
      </c>
      <c r="H49" s="515">
        <v>1</v>
      </c>
      <c r="I49" s="515">
        <v>1</v>
      </c>
      <c r="J49" s="515">
        <v>1</v>
      </c>
      <c r="K49" s="515">
        <v>1</v>
      </c>
      <c r="L49" s="515">
        <v>1</v>
      </c>
      <c r="M49" s="17"/>
      <c r="N49" s="480"/>
      <c r="O49" s="521"/>
    </row>
    <row r="50" spans="1:15" x14ac:dyDescent="0.3">
      <c r="A50" s="17" t="s">
        <v>182</v>
      </c>
      <c r="B50" s="951"/>
      <c r="C50" s="515" t="s">
        <v>355</v>
      </c>
      <c r="D50" s="515">
        <v>4</v>
      </c>
      <c r="E50" s="515">
        <v>3</v>
      </c>
      <c r="F50" s="515">
        <v>2</v>
      </c>
      <c r="G50" s="515">
        <v>1</v>
      </c>
      <c r="H50" s="515">
        <v>1</v>
      </c>
      <c r="I50" s="515">
        <v>1</v>
      </c>
      <c r="J50" s="515">
        <v>1</v>
      </c>
      <c r="K50" s="515">
        <v>1</v>
      </c>
      <c r="L50" s="515">
        <v>1</v>
      </c>
      <c r="M50" s="17"/>
      <c r="N50" s="17"/>
      <c r="O50" s="521"/>
    </row>
    <row r="51" spans="1:15" x14ac:dyDescent="0.3">
      <c r="A51" s="17" t="s">
        <v>183</v>
      </c>
      <c r="B51" s="951"/>
      <c r="C51" s="515" t="s">
        <v>356</v>
      </c>
      <c r="D51" s="515">
        <v>6</v>
      </c>
      <c r="E51" s="515">
        <v>5</v>
      </c>
      <c r="F51" s="515">
        <v>4</v>
      </c>
      <c r="G51" s="515">
        <v>3</v>
      </c>
      <c r="H51" s="515">
        <v>2</v>
      </c>
      <c r="I51" s="515">
        <v>1</v>
      </c>
      <c r="J51" s="515">
        <v>1</v>
      </c>
      <c r="K51" s="515">
        <v>1</v>
      </c>
      <c r="L51" s="515">
        <v>1</v>
      </c>
      <c r="M51" s="17"/>
      <c r="N51" s="17"/>
      <c r="O51" s="521"/>
    </row>
    <row r="52" spans="1:15" x14ac:dyDescent="0.3">
      <c r="A52" s="17" t="s">
        <v>184</v>
      </c>
      <c r="B52" s="951"/>
      <c r="C52" s="515" t="s">
        <v>357</v>
      </c>
      <c r="D52" s="515">
        <v>7</v>
      </c>
      <c r="E52" s="515">
        <v>6</v>
      </c>
      <c r="F52" s="515">
        <v>6</v>
      </c>
      <c r="G52" s="515">
        <v>5</v>
      </c>
      <c r="H52" s="515">
        <v>4</v>
      </c>
      <c r="I52" s="515">
        <v>3</v>
      </c>
      <c r="J52" s="515">
        <v>2</v>
      </c>
      <c r="K52" s="515">
        <v>1</v>
      </c>
      <c r="L52" s="515">
        <v>1</v>
      </c>
      <c r="M52" s="17"/>
      <c r="N52" s="17"/>
      <c r="O52" s="521"/>
    </row>
    <row r="53" spans="1:15" x14ac:dyDescent="0.3">
      <c r="A53" s="17" t="s">
        <v>185</v>
      </c>
      <c r="B53" s="951"/>
      <c r="C53" s="515" t="s">
        <v>358</v>
      </c>
      <c r="D53" s="515">
        <v>7</v>
      </c>
      <c r="E53" s="515">
        <v>7</v>
      </c>
      <c r="F53" s="515">
        <v>6</v>
      </c>
      <c r="G53" s="515">
        <v>5</v>
      </c>
      <c r="H53" s="515">
        <v>4</v>
      </c>
      <c r="I53" s="515">
        <v>3</v>
      </c>
      <c r="J53" s="515">
        <v>2</v>
      </c>
      <c r="K53" s="515">
        <v>1</v>
      </c>
      <c r="L53" s="515">
        <v>1</v>
      </c>
      <c r="M53" s="17"/>
      <c r="N53" s="17"/>
      <c r="O53" s="521"/>
    </row>
    <row r="54" spans="1:15" x14ac:dyDescent="0.3">
      <c r="A54" s="17" t="s">
        <v>186</v>
      </c>
      <c r="B54" s="332"/>
      <c r="C54" s="17"/>
      <c r="D54" s="17"/>
      <c r="E54" s="17"/>
      <c r="F54" s="521"/>
      <c r="G54" s="17"/>
      <c r="H54" s="17"/>
      <c r="I54" s="17"/>
      <c r="J54" s="17"/>
      <c r="K54" s="17"/>
      <c r="L54" s="17"/>
      <c r="M54" s="17"/>
      <c r="N54" s="17"/>
      <c r="O54" s="521"/>
    </row>
    <row r="55" spans="1:15" ht="12.75" customHeight="1" x14ac:dyDescent="0.3">
      <c r="A55" s="17" t="s">
        <v>2211</v>
      </c>
      <c r="B55" s="764" t="s">
        <v>2141</v>
      </c>
      <c r="C55" s="765"/>
      <c r="D55" s="765"/>
      <c r="E55" s="765"/>
      <c r="F55" s="765"/>
      <c r="G55" s="765"/>
      <c r="H55" s="765"/>
      <c r="I55" s="765"/>
      <c r="J55" s="765"/>
      <c r="K55" s="765"/>
      <c r="L55" s="766"/>
      <c r="M55" s="17"/>
      <c r="N55" s="17"/>
      <c r="O55" s="521"/>
    </row>
    <row r="56" spans="1:15" ht="28.5" customHeight="1" x14ac:dyDescent="0.3">
      <c r="A56" s="17"/>
      <c r="B56" s="833"/>
      <c r="C56" s="713"/>
      <c r="D56" s="713"/>
      <c r="E56" s="713"/>
      <c r="F56" s="713"/>
      <c r="G56" s="713"/>
      <c r="H56" s="713"/>
      <c r="I56" s="713"/>
      <c r="J56" s="713"/>
      <c r="K56" s="713"/>
      <c r="L56" s="834"/>
      <c r="M56" s="17"/>
      <c r="N56" s="17"/>
      <c r="O56" s="521"/>
    </row>
    <row r="57" spans="1:15" ht="45.75" customHeight="1" x14ac:dyDescent="0.3">
      <c r="A57" s="526" t="s">
        <v>1978</v>
      </c>
      <c r="B57" s="767" t="s">
        <v>2142</v>
      </c>
      <c r="C57" s="768"/>
      <c r="D57" s="768"/>
      <c r="E57" s="768"/>
      <c r="F57" s="768"/>
      <c r="G57" s="768"/>
      <c r="H57" s="768"/>
      <c r="I57" s="768"/>
      <c r="J57" s="768"/>
      <c r="K57" s="768"/>
      <c r="L57" s="769"/>
      <c r="M57" s="17"/>
      <c r="N57" s="17"/>
      <c r="O57" s="521"/>
    </row>
    <row r="58" spans="1:15" x14ac:dyDescent="0.3">
      <c r="A58" s="2" t="s">
        <v>1816</v>
      </c>
      <c r="B58" s="58"/>
      <c r="C58" s="58"/>
      <c r="D58" s="58"/>
      <c r="E58" s="58"/>
      <c r="F58" s="58"/>
      <c r="G58" s="58"/>
      <c r="H58" s="58"/>
      <c r="I58" s="58"/>
      <c r="J58" s="58"/>
      <c r="K58" s="58"/>
      <c r="L58" s="58"/>
      <c r="M58" s="17"/>
      <c r="N58" s="17"/>
      <c r="O58" s="521"/>
    </row>
    <row r="59" spans="1:15" x14ac:dyDescent="0.3">
      <c r="A59" s="17" t="s">
        <v>1870</v>
      </c>
      <c r="B59" s="58"/>
      <c r="C59" s="58"/>
      <c r="D59" s="58"/>
      <c r="E59" s="58"/>
      <c r="F59" s="58"/>
      <c r="G59" s="58"/>
      <c r="H59" s="58"/>
      <c r="I59" s="58"/>
      <c r="J59" s="58"/>
      <c r="K59" s="58"/>
      <c r="L59" s="58"/>
      <c r="M59" s="17"/>
      <c r="N59" s="17"/>
      <c r="O59" s="521"/>
    </row>
    <row r="60" spans="1:15" x14ac:dyDescent="0.3">
      <c r="A60" s="17" t="s">
        <v>49</v>
      </c>
      <c r="B60" s="17"/>
      <c r="C60" s="17"/>
      <c r="D60" s="17"/>
      <c r="E60" s="17"/>
      <c r="F60" s="521"/>
      <c r="G60" s="17"/>
      <c r="H60" s="17"/>
      <c r="I60" s="17"/>
      <c r="J60" s="17"/>
      <c r="K60" s="17"/>
      <c r="L60" s="17"/>
      <c r="M60" s="17"/>
      <c r="N60" s="17"/>
      <c r="O60" s="521"/>
    </row>
    <row r="61" spans="1:15" x14ac:dyDescent="0.3">
      <c r="A61" s="17"/>
      <c r="B61" s="17"/>
      <c r="C61" s="17"/>
      <c r="D61" s="17"/>
      <c r="E61" s="17"/>
      <c r="F61" s="521"/>
      <c r="G61" s="17"/>
      <c r="H61" s="17"/>
      <c r="I61" s="17"/>
      <c r="J61" s="17"/>
      <c r="K61" s="17"/>
      <c r="L61" s="17"/>
      <c r="M61" s="17"/>
      <c r="N61" s="17"/>
      <c r="O61" s="521"/>
    </row>
    <row r="62" spans="1:15" x14ac:dyDescent="0.3">
      <c r="A62" s="2" t="s">
        <v>50</v>
      </c>
      <c r="B62" s="17"/>
      <c r="C62" s="17"/>
      <c r="D62" s="17"/>
      <c r="E62" s="17"/>
      <c r="F62" s="521"/>
      <c r="G62" s="17"/>
      <c r="H62" s="17"/>
      <c r="I62" s="17"/>
      <c r="J62" s="17"/>
      <c r="K62" s="17"/>
      <c r="L62" s="17"/>
      <c r="M62" s="17"/>
      <c r="N62" s="17"/>
      <c r="O62" s="521"/>
    </row>
    <row r="63" spans="1:15" x14ac:dyDescent="0.3">
      <c r="A63" s="17" t="s">
        <v>51</v>
      </c>
      <c r="B63" s="17"/>
      <c r="C63" s="17"/>
      <c r="D63" s="17"/>
      <c r="E63" s="17"/>
      <c r="F63" s="521"/>
      <c r="G63" s="17"/>
      <c r="H63" s="17"/>
      <c r="I63" s="17"/>
      <c r="J63" s="17"/>
      <c r="K63" s="17"/>
      <c r="L63" s="17"/>
      <c r="M63" s="17"/>
      <c r="N63" s="17"/>
      <c r="O63" s="521"/>
    </row>
    <row r="64" spans="1:15" x14ac:dyDescent="0.3">
      <c r="A64" s="17"/>
      <c r="B64" s="17"/>
      <c r="C64" s="17"/>
      <c r="D64" s="17"/>
      <c r="E64" s="17"/>
      <c r="F64" s="521"/>
      <c r="G64" s="17"/>
      <c r="H64" s="17"/>
      <c r="I64" s="17"/>
      <c r="J64" s="17"/>
      <c r="K64" s="17"/>
      <c r="L64" s="17"/>
      <c r="M64" s="17"/>
      <c r="N64" s="17"/>
      <c r="O64" s="521"/>
    </row>
    <row r="65" spans="1:15" x14ac:dyDescent="0.3">
      <c r="A65" s="2" t="s">
        <v>52</v>
      </c>
      <c r="B65" s="17"/>
      <c r="C65" s="17"/>
      <c r="D65" s="17"/>
      <c r="E65" s="17"/>
      <c r="F65" s="521"/>
      <c r="G65" s="17"/>
      <c r="H65" s="17"/>
      <c r="I65" s="17"/>
      <c r="J65" s="17"/>
      <c r="K65" s="17"/>
      <c r="L65" s="17"/>
      <c r="M65" s="17"/>
      <c r="N65" s="17"/>
      <c r="O65" s="521"/>
    </row>
    <row r="66" spans="1:15" x14ac:dyDescent="0.3">
      <c r="A66" s="17" t="s">
        <v>53</v>
      </c>
      <c r="B66" s="17"/>
      <c r="C66" s="17"/>
      <c r="D66" s="17"/>
      <c r="E66" s="17"/>
      <c r="F66" s="521"/>
      <c r="G66" s="17"/>
      <c r="H66" s="17"/>
      <c r="I66" s="17"/>
      <c r="J66" s="17"/>
      <c r="K66" s="17"/>
      <c r="L66" s="17"/>
      <c r="M66" s="17"/>
      <c r="N66" s="17"/>
      <c r="O66" s="521"/>
    </row>
    <row r="67" spans="1:15" x14ac:dyDescent="0.3">
      <c r="A67" s="17"/>
      <c r="B67" s="17"/>
      <c r="C67" s="17"/>
      <c r="D67" s="17"/>
      <c r="E67" s="17"/>
      <c r="F67" s="521"/>
      <c r="G67" s="17"/>
      <c r="H67" s="17"/>
      <c r="I67" s="17"/>
      <c r="J67" s="17"/>
      <c r="K67" s="17"/>
      <c r="L67" s="17"/>
      <c r="M67" s="17"/>
      <c r="N67" s="17"/>
      <c r="O67" s="521"/>
    </row>
    <row r="68" spans="1:15" x14ac:dyDescent="0.3">
      <c r="A68" s="2" t="s">
        <v>54</v>
      </c>
      <c r="B68" s="17"/>
      <c r="C68" s="17"/>
      <c r="D68" s="17"/>
      <c r="E68" s="17"/>
      <c r="F68" s="521"/>
      <c r="G68" s="17"/>
      <c r="H68" s="17"/>
      <c r="I68" s="17"/>
      <c r="J68" s="17"/>
      <c r="K68" s="17"/>
      <c r="L68" s="17"/>
      <c r="M68" s="17"/>
      <c r="N68" s="17"/>
      <c r="O68" s="521"/>
    </row>
    <row r="69" spans="1:15" x14ac:dyDescent="0.3">
      <c r="A69" s="17" t="s">
        <v>55</v>
      </c>
      <c r="B69" s="17"/>
      <c r="C69" s="17"/>
      <c r="D69" s="17"/>
      <c r="E69" s="17"/>
      <c r="F69" s="521"/>
      <c r="G69" s="17"/>
      <c r="H69" s="17"/>
      <c r="I69" s="17"/>
      <c r="J69" s="17"/>
      <c r="K69" s="17"/>
      <c r="L69" s="17"/>
      <c r="M69" s="17"/>
      <c r="N69" s="17"/>
      <c r="O69" s="521"/>
    </row>
    <row r="70" spans="1:15" x14ac:dyDescent="0.3">
      <c r="A70" s="17" t="s">
        <v>872</v>
      </c>
      <c r="B70" s="17"/>
      <c r="C70" s="17"/>
      <c r="D70" s="17"/>
      <c r="E70" s="17"/>
      <c r="F70" s="521"/>
      <c r="G70" s="17"/>
      <c r="H70" s="17"/>
      <c r="I70" s="17"/>
      <c r="J70" s="17"/>
      <c r="K70" s="17"/>
      <c r="L70" s="17"/>
      <c r="M70" s="17"/>
      <c r="N70" s="17"/>
      <c r="O70" s="521"/>
    </row>
    <row r="71" spans="1:15" x14ac:dyDescent="0.3">
      <c r="A71" s="17"/>
      <c r="B71" s="17"/>
      <c r="C71" s="17"/>
      <c r="D71" s="17"/>
      <c r="E71" s="17"/>
      <c r="F71" s="521"/>
      <c r="G71" s="17"/>
      <c r="H71" s="17"/>
      <c r="I71" s="17"/>
      <c r="J71" s="17"/>
      <c r="K71" s="17"/>
      <c r="L71" s="17"/>
      <c r="M71" s="17"/>
      <c r="N71" s="17"/>
      <c r="O71" s="521"/>
    </row>
    <row r="72" spans="1:15" x14ac:dyDescent="0.3">
      <c r="A72" s="2" t="s">
        <v>873</v>
      </c>
      <c r="B72" s="17"/>
      <c r="C72" s="17"/>
      <c r="D72" s="17"/>
      <c r="E72" s="17"/>
      <c r="F72" s="521"/>
      <c r="G72" s="17"/>
      <c r="H72" s="17"/>
      <c r="I72" s="17"/>
      <c r="J72" s="17"/>
      <c r="K72" s="17"/>
      <c r="L72" s="17"/>
      <c r="M72" s="17"/>
      <c r="N72" s="17"/>
      <c r="O72" s="521"/>
    </row>
    <row r="73" spans="1:15" x14ac:dyDescent="0.3">
      <c r="A73" s="17" t="s">
        <v>874</v>
      </c>
      <c r="B73" s="17"/>
      <c r="C73" s="17"/>
      <c r="D73" s="17"/>
      <c r="E73" s="17"/>
      <c r="F73" s="521"/>
      <c r="G73" s="17"/>
      <c r="H73" s="17"/>
      <c r="I73" s="17"/>
      <c r="J73" s="17"/>
      <c r="K73" s="17"/>
      <c r="L73" s="17"/>
      <c r="M73" s="17"/>
      <c r="N73" s="17"/>
      <c r="O73" s="521"/>
    </row>
    <row r="74" spans="1:15" x14ac:dyDescent="0.3">
      <c r="A74" s="17" t="s">
        <v>875</v>
      </c>
      <c r="B74" s="17"/>
      <c r="C74" s="17"/>
      <c r="D74" s="17"/>
      <c r="E74" s="17"/>
      <c r="F74" s="521"/>
      <c r="G74" s="17"/>
      <c r="H74" s="17"/>
      <c r="I74" s="17"/>
      <c r="J74" s="17"/>
      <c r="K74" s="17"/>
      <c r="L74" s="17"/>
      <c r="M74" s="17"/>
      <c r="N74" s="17"/>
      <c r="O74" s="521"/>
    </row>
    <row r="75" spans="1:15" x14ac:dyDescent="0.3">
      <c r="A75" s="17"/>
      <c r="B75" s="17"/>
      <c r="C75" s="17"/>
      <c r="D75" s="17"/>
      <c r="E75" s="17"/>
      <c r="F75" s="521"/>
      <c r="G75" s="17"/>
      <c r="H75" s="17"/>
      <c r="I75" s="17"/>
      <c r="J75" s="17"/>
      <c r="K75" s="17"/>
      <c r="L75" s="17"/>
      <c r="M75" s="17"/>
      <c r="N75" s="17"/>
      <c r="O75" s="521"/>
    </row>
    <row r="76" spans="1:15" hidden="1" x14ac:dyDescent="0.3">
      <c r="A76" s="17"/>
      <c r="B76" s="17"/>
      <c r="C76" s="17"/>
      <c r="D76" s="17"/>
      <c r="E76" s="17"/>
      <c r="F76" s="521"/>
      <c r="G76" s="17"/>
      <c r="H76" s="17"/>
      <c r="I76" s="17"/>
      <c r="J76" s="17"/>
      <c r="K76" s="17"/>
      <c r="L76" s="17"/>
      <c r="M76" s="17"/>
      <c r="N76" s="17"/>
      <c r="O76" s="521"/>
    </row>
    <row r="77" spans="1:15" hidden="1" x14ac:dyDescent="0.3">
      <c r="A77" s="17"/>
      <c r="B77" s="17"/>
      <c r="C77" s="17"/>
      <c r="D77" s="17"/>
      <c r="E77" s="17"/>
      <c r="F77" s="521"/>
      <c r="G77" s="17"/>
      <c r="H77" s="17"/>
      <c r="I77" s="17"/>
      <c r="J77" s="17"/>
      <c r="K77" s="17"/>
      <c r="L77" s="17"/>
      <c r="M77" s="17"/>
      <c r="N77" s="17"/>
      <c r="O77" s="521"/>
    </row>
    <row r="78" spans="1:15" hidden="1" x14ac:dyDescent="0.3">
      <c r="A78" s="17"/>
      <c r="B78" s="17"/>
      <c r="C78" s="17"/>
      <c r="D78" s="17"/>
      <c r="E78" s="17"/>
      <c r="F78" s="521"/>
      <c r="G78" s="17"/>
      <c r="H78" s="17"/>
      <c r="I78" s="17"/>
      <c r="J78" s="17"/>
      <c r="K78" s="17"/>
      <c r="L78" s="17"/>
      <c r="M78" s="17"/>
      <c r="N78" s="17"/>
      <c r="O78" s="521"/>
    </row>
    <row r="79" spans="1:15" hidden="1" x14ac:dyDescent="0.3">
      <c r="A79" s="17"/>
      <c r="B79" s="17"/>
      <c r="C79" s="17"/>
      <c r="D79" s="17"/>
      <c r="E79" s="17"/>
      <c r="F79" s="521"/>
      <c r="G79" s="17"/>
      <c r="H79" s="17"/>
      <c r="I79" s="17"/>
      <c r="J79" s="17"/>
      <c r="K79" s="17"/>
      <c r="L79" s="17"/>
      <c r="M79" s="17"/>
      <c r="N79" s="17"/>
      <c r="O79" s="521"/>
    </row>
    <row r="80" spans="1:15" x14ac:dyDescent="0.3">
      <c r="A80" s="516" t="s">
        <v>2019</v>
      </c>
      <c r="B80" s="17"/>
      <c r="C80" s="17"/>
      <c r="D80" s="17"/>
      <c r="E80" s="17"/>
      <c r="F80" s="521"/>
      <c r="G80" s="17"/>
      <c r="H80" s="17"/>
      <c r="I80" s="17"/>
      <c r="J80" s="17"/>
      <c r="K80" s="17"/>
      <c r="L80" s="17"/>
      <c r="M80" s="17"/>
      <c r="N80" s="17"/>
      <c r="O80" s="521"/>
    </row>
    <row r="81" spans="1:15" x14ac:dyDescent="0.3">
      <c r="A81" s="17" t="s">
        <v>606</v>
      </c>
      <c r="B81" s="1700" t="s">
        <v>2171</v>
      </c>
      <c r="C81" s="17"/>
      <c r="D81" s="17"/>
      <c r="E81" s="17"/>
      <c r="F81" s="521"/>
      <c r="G81" s="17"/>
      <c r="H81" s="17"/>
      <c r="I81" s="17"/>
      <c r="J81" s="17"/>
      <c r="K81" s="17"/>
      <c r="L81" s="17"/>
      <c r="M81" s="17"/>
      <c r="N81" s="17"/>
      <c r="O81" s="521"/>
    </row>
    <row r="82" spans="1:15" x14ac:dyDescent="0.3">
      <c r="A82" s="17" t="s">
        <v>427</v>
      </c>
      <c r="B82" s="1700"/>
      <c r="C82" s="17"/>
      <c r="D82" s="17"/>
      <c r="E82" s="17"/>
      <c r="F82" s="521"/>
      <c r="G82" s="17"/>
      <c r="H82" s="17"/>
      <c r="I82" s="17"/>
      <c r="J82" s="17"/>
      <c r="K82" s="17"/>
      <c r="L82" s="17"/>
      <c r="M82" s="17"/>
      <c r="N82" s="17"/>
      <c r="O82" s="521"/>
    </row>
    <row r="83" spans="1:15" x14ac:dyDescent="0.3">
      <c r="A83" s="17" t="s">
        <v>424</v>
      </c>
      <c r="B83" s="1700"/>
      <c r="C83" s="17"/>
      <c r="D83" s="17"/>
      <c r="E83" s="17"/>
      <c r="F83" s="521"/>
      <c r="G83" s="17"/>
      <c r="H83" s="17"/>
      <c r="I83" s="17"/>
      <c r="J83" s="17"/>
      <c r="K83" s="17"/>
      <c r="L83" s="17"/>
      <c r="M83" s="17"/>
      <c r="N83" s="17"/>
      <c r="O83" s="521"/>
    </row>
    <row r="84" spans="1:15" x14ac:dyDescent="0.3">
      <c r="A84" s="17" t="s">
        <v>1947</v>
      </c>
      <c r="B84" s="1700"/>
      <c r="C84" s="17"/>
      <c r="D84" s="17"/>
      <c r="E84" s="17"/>
      <c r="F84" s="521"/>
      <c r="G84" s="17"/>
      <c r="H84" s="17"/>
      <c r="I84" s="17"/>
      <c r="J84" s="17"/>
      <c r="K84" s="17"/>
      <c r="L84" s="17"/>
      <c r="M84" s="17"/>
      <c r="N84" s="17"/>
      <c r="O84" s="521"/>
    </row>
    <row r="85" spans="1:15" x14ac:dyDescent="0.3">
      <c r="A85" s="17" t="s">
        <v>198</v>
      </c>
      <c r="B85" s="1700"/>
      <c r="C85" s="17"/>
      <c r="D85" s="17"/>
      <c r="E85" s="17"/>
      <c r="F85" s="521"/>
      <c r="G85" s="17"/>
      <c r="H85" s="17"/>
      <c r="I85" s="17"/>
      <c r="J85" s="17"/>
      <c r="K85" s="17"/>
      <c r="L85" s="17"/>
      <c r="M85" s="17"/>
      <c r="N85" s="17"/>
      <c r="O85" s="521"/>
    </row>
    <row r="86" spans="1:15" x14ac:dyDescent="0.3">
      <c r="A86" s="17" t="s">
        <v>1979</v>
      </c>
      <c r="B86" s="1700"/>
      <c r="C86" s="17"/>
      <c r="D86" s="17"/>
      <c r="E86" s="17"/>
      <c r="F86" s="521"/>
      <c r="G86" s="17"/>
      <c r="H86" s="17"/>
      <c r="I86" s="17"/>
      <c r="J86" s="17"/>
      <c r="K86" s="17"/>
      <c r="L86" s="17"/>
      <c r="M86" s="17"/>
      <c r="N86" s="17"/>
      <c r="O86" s="521"/>
    </row>
    <row r="87" spans="1:15" x14ac:dyDescent="0.3">
      <c r="A87" s="17"/>
      <c r="B87" s="17"/>
      <c r="C87" s="17"/>
      <c r="D87" s="17"/>
      <c r="E87" s="17"/>
      <c r="F87" s="521"/>
      <c r="G87" s="17"/>
      <c r="H87" s="17"/>
      <c r="I87" s="17"/>
      <c r="J87" s="17"/>
      <c r="K87" s="17"/>
      <c r="L87" s="17"/>
      <c r="M87" s="17"/>
      <c r="N87" s="17"/>
      <c r="O87" s="521"/>
    </row>
    <row r="88" spans="1:15" x14ac:dyDescent="0.3">
      <c r="A88" s="17" t="s">
        <v>1124</v>
      </c>
      <c r="B88" s="1700" t="s">
        <v>2167</v>
      </c>
      <c r="C88" s="17"/>
      <c r="D88" s="17"/>
      <c r="E88" s="17"/>
      <c r="F88" s="521"/>
      <c r="G88" s="17"/>
      <c r="H88" s="17"/>
      <c r="I88" s="17"/>
      <c r="J88" s="17"/>
      <c r="K88" s="17"/>
      <c r="L88" s="17"/>
      <c r="M88" s="17"/>
      <c r="N88" s="17"/>
      <c r="O88" s="521"/>
    </row>
    <row r="89" spans="1:15" x14ac:dyDescent="0.3">
      <c r="A89" s="17" t="s">
        <v>1659</v>
      </c>
      <c r="B89" s="1700"/>
      <c r="C89" s="17"/>
      <c r="D89" s="17"/>
      <c r="E89" s="17"/>
      <c r="F89" s="521"/>
      <c r="G89" s="17"/>
      <c r="H89" s="17"/>
      <c r="I89" s="17"/>
      <c r="J89" s="17"/>
      <c r="K89" s="17"/>
      <c r="L89" s="17"/>
      <c r="M89" s="17"/>
      <c r="N89" s="17"/>
      <c r="O89" s="521"/>
    </row>
    <row r="90" spans="1:15" x14ac:dyDescent="0.3">
      <c r="A90" s="17" t="s">
        <v>689</v>
      </c>
      <c r="B90" s="1700"/>
      <c r="C90" s="17"/>
      <c r="D90" s="17"/>
      <c r="E90" s="17"/>
      <c r="F90" s="521"/>
      <c r="G90" s="17"/>
      <c r="H90" s="17"/>
      <c r="I90" s="17"/>
      <c r="J90" s="17"/>
      <c r="K90" s="17"/>
      <c r="L90" s="17"/>
      <c r="M90" s="17"/>
      <c r="N90" s="17"/>
      <c r="O90" s="521"/>
    </row>
    <row r="91" spans="1:15" x14ac:dyDescent="0.3">
      <c r="A91" s="17" t="s">
        <v>1123</v>
      </c>
      <c r="B91" s="1700"/>
      <c r="C91" s="17"/>
      <c r="D91" s="17"/>
      <c r="E91" s="17"/>
      <c r="F91" s="521"/>
      <c r="G91" s="17"/>
      <c r="H91" s="17"/>
      <c r="I91" s="17"/>
      <c r="J91" s="17"/>
      <c r="K91" s="17"/>
      <c r="L91" s="17"/>
      <c r="M91" s="17"/>
      <c r="N91" s="17"/>
      <c r="O91" s="521"/>
    </row>
    <row r="92" spans="1:15" x14ac:dyDescent="0.3">
      <c r="A92" s="17" t="s">
        <v>1980</v>
      </c>
      <c r="B92" s="1700"/>
      <c r="C92" s="17"/>
      <c r="D92" s="17"/>
      <c r="E92" s="17"/>
      <c r="F92" s="521"/>
      <c r="G92" s="17"/>
      <c r="H92" s="17"/>
      <c r="I92" s="17"/>
      <c r="J92" s="17"/>
      <c r="K92" s="17"/>
      <c r="L92" s="17"/>
      <c r="M92" s="17"/>
      <c r="N92" s="17"/>
      <c r="O92" s="521"/>
    </row>
    <row r="93" spans="1:15" x14ac:dyDescent="0.3">
      <c r="A93" s="17"/>
      <c r="B93" s="17"/>
      <c r="C93" s="17"/>
      <c r="D93" s="17"/>
      <c r="E93" s="17"/>
      <c r="F93" s="521"/>
      <c r="G93" s="17"/>
      <c r="H93" s="17"/>
      <c r="I93" s="17"/>
      <c r="J93" s="17"/>
      <c r="K93" s="17"/>
      <c r="L93" s="17"/>
      <c r="M93" s="17"/>
      <c r="N93" s="17"/>
      <c r="O93" s="521"/>
    </row>
    <row r="94" spans="1:15" x14ac:dyDescent="0.3">
      <c r="A94" s="17" t="s">
        <v>212</v>
      </c>
      <c r="B94" s="1700" t="s">
        <v>2168</v>
      </c>
      <c r="C94" s="17"/>
      <c r="D94" s="17"/>
      <c r="E94" s="17"/>
      <c r="F94" s="521"/>
      <c r="G94" s="17"/>
      <c r="H94" s="17"/>
      <c r="I94" s="17"/>
      <c r="J94" s="17"/>
      <c r="K94" s="17"/>
      <c r="L94" s="17"/>
      <c r="M94" s="17"/>
      <c r="N94" s="17"/>
      <c r="O94" s="521"/>
    </row>
    <row r="95" spans="1:15" x14ac:dyDescent="0.3">
      <c r="A95" s="17" t="s">
        <v>1911</v>
      </c>
      <c r="B95" s="1700"/>
      <c r="C95" s="17"/>
      <c r="D95" s="17"/>
      <c r="E95" s="17"/>
      <c r="F95" s="521"/>
      <c r="G95" s="17"/>
      <c r="H95" s="17"/>
      <c r="I95" s="17"/>
      <c r="J95" s="17"/>
      <c r="K95" s="17"/>
      <c r="L95" s="17"/>
      <c r="M95" s="17"/>
      <c r="N95" s="17"/>
      <c r="O95" s="521"/>
    </row>
    <row r="96" spans="1:15" x14ac:dyDescent="0.3">
      <c r="A96" s="17" t="s">
        <v>1912</v>
      </c>
      <c r="B96" s="1700"/>
      <c r="C96" s="17"/>
      <c r="D96" s="17"/>
      <c r="E96" s="17"/>
      <c r="F96" s="521"/>
      <c r="G96" s="17"/>
      <c r="H96" s="17"/>
      <c r="I96" s="17"/>
      <c r="J96" s="17"/>
      <c r="K96" s="17"/>
      <c r="L96" s="17"/>
      <c r="M96" s="17"/>
      <c r="N96" s="17"/>
      <c r="O96" s="521"/>
    </row>
    <row r="97" spans="1:15" x14ac:dyDescent="0.3">
      <c r="A97" s="17" t="s">
        <v>1913</v>
      </c>
      <c r="B97" s="1700"/>
      <c r="C97" s="17"/>
      <c r="D97" s="17"/>
      <c r="E97" s="17"/>
      <c r="F97" s="521"/>
      <c r="G97" s="17"/>
      <c r="H97" s="17"/>
      <c r="I97" s="17"/>
      <c r="J97" s="17"/>
      <c r="K97" s="17"/>
      <c r="L97" s="17"/>
      <c r="M97" s="17"/>
      <c r="N97" s="17"/>
      <c r="O97" s="521"/>
    </row>
    <row r="98" spans="1:15" x14ac:dyDescent="0.3">
      <c r="A98" s="17" t="s">
        <v>1981</v>
      </c>
      <c r="B98" s="1700"/>
      <c r="C98" s="17"/>
      <c r="D98" s="17"/>
      <c r="E98" s="17"/>
      <c r="F98" s="521"/>
      <c r="G98" s="17"/>
      <c r="H98" s="17"/>
      <c r="I98" s="17"/>
      <c r="J98" s="17"/>
      <c r="K98" s="17"/>
      <c r="L98" s="17"/>
      <c r="M98" s="17"/>
      <c r="N98" s="17"/>
      <c r="O98" s="521"/>
    </row>
    <row r="99" spans="1:15" x14ac:dyDescent="0.3">
      <c r="A99" s="17"/>
      <c r="B99" s="17"/>
      <c r="C99" s="17"/>
      <c r="D99" s="17"/>
      <c r="E99" s="17"/>
      <c r="F99" s="521"/>
      <c r="G99" s="17"/>
      <c r="H99" s="17"/>
      <c r="I99" s="17"/>
      <c r="J99" s="17"/>
      <c r="K99" s="17"/>
      <c r="L99" s="17"/>
      <c r="M99" s="17"/>
      <c r="N99" s="17"/>
      <c r="O99" s="521"/>
    </row>
    <row r="100" spans="1:15" x14ac:dyDescent="0.3">
      <c r="A100" s="17" t="s">
        <v>331</v>
      </c>
      <c r="B100" s="1700" t="s">
        <v>2169</v>
      </c>
      <c r="C100" s="17"/>
      <c r="D100" s="17"/>
      <c r="E100" s="17"/>
      <c r="F100" s="521"/>
      <c r="G100" s="17"/>
      <c r="H100" s="17"/>
      <c r="I100" s="17"/>
      <c r="J100" s="17"/>
      <c r="K100" s="17"/>
      <c r="L100" s="17"/>
      <c r="M100" s="17"/>
      <c r="N100" s="17"/>
      <c r="O100" s="521"/>
    </row>
    <row r="101" spans="1:15" x14ac:dyDescent="0.3">
      <c r="A101" s="17" t="s">
        <v>983</v>
      </c>
      <c r="B101" s="1700"/>
      <c r="C101" s="17"/>
      <c r="D101" s="17"/>
      <c r="E101" s="17"/>
      <c r="F101" s="521"/>
      <c r="G101" s="17"/>
      <c r="H101" s="17"/>
      <c r="I101" s="17"/>
      <c r="J101" s="17"/>
      <c r="K101" s="17"/>
      <c r="L101" s="17"/>
      <c r="M101" s="17"/>
      <c r="N101" s="17"/>
      <c r="O101" s="521"/>
    </row>
    <row r="102" spans="1:15" x14ac:dyDescent="0.3">
      <c r="A102" s="17" t="s">
        <v>984</v>
      </c>
      <c r="B102" s="1700"/>
      <c r="C102" s="17"/>
      <c r="D102" s="17"/>
      <c r="E102" s="17"/>
      <c r="F102" s="521"/>
      <c r="G102" s="17"/>
      <c r="H102" s="17"/>
      <c r="I102" s="17"/>
      <c r="J102" s="17"/>
      <c r="K102" s="17"/>
      <c r="L102" s="17"/>
      <c r="M102" s="17"/>
      <c r="N102" s="17"/>
      <c r="O102" s="521"/>
    </row>
    <row r="103" spans="1:15" x14ac:dyDescent="0.3">
      <c r="A103" s="17" t="s">
        <v>80</v>
      </c>
      <c r="B103" s="1700"/>
      <c r="C103" s="17"/>
      <c r="D103" s="17"/>
      <c r="E103" s="17"/>
      <c r="F103" s="521"/>
      <c r="G103" s="17"/>
      <c r="H103" s="17"/>
      <c r="I103" s="17"/>
      <c r="J103" s="17"/>
      <c r="K103" s="17"/>
      <c r="L103" s="17"/>
      <c r="M103" s="17"/>
      <c r="N103" s="17"/>
      <c r="O103" s="521"/>
    </row>
    <row r="104" spans="1:15" x14ac:dyDescent="0.3">
      <c r="A104" s="17" t="s">
        <v>1166</v>
      </c>
      <c r="B104" s="1700"/>
      <c r="C104" s="17"/>
      <c r="D104" s="17"/>
      <c r="E104" s="17"/>
      <c r="F104" s="521"/>
      <c r="G104" s="17"/>
      <c r="H104" s="17"/>
      <c r="I104" s="17"/>
      <c r="J104" s="17"/>
      <c r="K104" s="17"/>
      <c r="L104" s="17"/>
      <c r="M104" s="17"/>
      <c r="N104" s="17"/>
      <c r="O104" s="521"/>
    </row>
    <row r="105" spans="1:15" x14ac:dyDescent="0.3">
      <c r="A105" s="17" t="s">
        <v>1982</v>
      </c>
      <c r="B105" s="17"/>
      <c r="C105" s="17"/>
      <c r="D105" s="17"/>
      <c r="E105" s="17"/>
      <c r="F105" s="521"/>
      <c r="G105" s="17"/>
      <c r="H105" s="17"/>
      <c r="I105" s="17"/>
      <c r="J105" s="17"/>
      <c r="K105" s="17"/>
      <c r="L105" s="17"/>
      <c r="M105" s="17"/>
      <c r="N105" s="17"/>
      <c r="O105" s="521"/>
    </row>
    <row r="106" spans="1:15" x14ac:dyDescent="0.3">
      <c r="A106" s="17"/>
      <c r="B106" s="17"/>
      <c r="C106" s="17"/>
      <c r="D106" s="17"/>
      <c r="E106" s="17"/>
      <c r="F106" s="521"/>
      <c r="G106" s="17"/>
      <c r="H106" s="17"/>
      <c r="I106" s="17"/>
      <c r="J106" s="17"/>
      <c r="K106" s="17"/>
      <c r="L106" s="17"/>
      <c r="M106" s="17"/>
      <c r="N106" s="17"/>
      <c r="O106" s="521"/>
    </row>
    <row r="107" spans="1:15" ht="12.75" customHeight="1" x14ac:dyDescent="0.3">
      <c r="A107" s="17" t="s">
        <v>1483</v>
      </c>
      <c r="B107" s="1700" t="s">
        <v>2170</v>
      </c>
      <c r="C107" s="17"/>
      <c r="D107" s="17"/>
      <c r="E107" s="17"/>
      <c r="F107" s="521"/>
      <c r="G107" s="17"/>
      <c r="H107" s="17"/>
      <c r="I107" s="17"/>
      <c r="J107" s="17"/>
      <c r="K107" s="17"/>
      <c r="L107" s="17"/>
      <c r="M107" s="17"/>
      <c r="N107" s="17"/>
      <c r="O107" s="521"/>
    </row>
    <row r="108" spans="1:15" ht="12.75" customHeight="1" x14ac:dyDescent="0.3">
      <c r="A108" s="17" t="s">
        <v>332</v>
      </c>
      <c r="B108" s="1700"/>
      <c r="C108" s="17"/>
      <c r="D108" s="17"/>
      <c r="E108" s="17"/>
      <c r="F108" s="521"/>
      <c r="G108" s="17"/>
      <c r="H108" s="17"/>
      <c r="I108" s="17"/>
      <c r="J108" s="17"/>
      <c r="K108" s="17"/>
      <c r="L108" s="17"/>
      <c r="M108" s="17"/>
      <c r="N108" s="17"/>
      <c r="O108" s="521"/>
    </row>
    <row r="109" spans="1:15" ht="12.75" customHeight="1" x14ac:dyDescent="0.3">
      <c r="A109" s="17" t="s">
        <v>1480</v>
      </c>
      <c r="B109" s="1700"/>
      <c r="C109" s="17"/>
      <c r="D109" s="17"/>
      <c r="E109" s="17"/>
      <c r="F109" s="521"/>
      <c r="G109" s="17"/>
      <c r="H109" s="17"/>
      <c r="I109" s="17"/>
      <c r="J109" s="17"/>
      <c r="K109" s="17"/>
      <c r="L109" s="17"/>
      <c r="M109" s="17"/>
      <c r="N109" s="17"/>
      <c r="O109" s="521"/>
    </row>
    <row r="110" spans="1:15" ht="12.75" customHeight="1" x14ac:dyDescent="0.3">
      <c r="A110" s="17" t="s">
        <v>1481</v>
      </c>
      <c r="B110" s="1700"/>
      <c r="C110" s="17"/>
      <c r="D110" s="17"/>
      <c r="E110" s="17"/>
      <c r="F110" s="521"/>
      <c r="G110" s="17"/>
      <c r="H110" s="17"/>
      <c r="I110" s="17"/>
      <c r="J110" s="17"/>
      <c r="K110" s="17"/>
      <c r="L110" s="17"/>
      <c r="M110" s="17"/>
      <c r="N110" s="17"/>
      <c r="O110" s="521"/>
    </row>
    <row r="111" spans="1:15" ht="12.75" customHeight="1" x14ac:dyDescent="0.3">
      <c r="A111" s="17" t="s">
        <v>1482</v>
      </c>
      <c r="B111" s="1700"/>
      <c r="C111" s="17"/>
      <c r="D111" s="17"/>
      <c r="E111" s="17"/>
      <c r="F111" s="521"/>
      <c r="G111" s="17"/>
      <c r="H111" s="17"/>
      <c r="I111" s="17"/>
      <c r="J111" s="17"/>
      <c r="K111" s="17"/>
      <c r="L111" s="17"/>
      <c r="M111" s="17"/>
      <c r="N111" s="17"/>
      <c r="O111" s="521"/>
    </row>
    <row r="112" spans="1:15" ht="13.5" customHeight="1" x14ac:dyDescent="0.3">
      <c r="A112" s="17" t="s">
        <v>1983</v>
      </c>
      <c r="B112" s="1700"/>
      <c r="C112" s="17"/>
      <c r="D112" s="17"/>
      <c r="E112" s="17"/>
      <c r="F112" s="521"/>
      <c r="G112" s="17"/>
      <c r="H112" s="17"/>
      <c r="I112" s="17"/>
      <c r="J112" s="17"/>
      <c r="K112" s="17"/>
      <c r="L112" s="17"/>
      <c r="M112" s="17"/>
      <c r="N112" s="17"/>
      <c r="O112" s="521"/>
    </row>
    <row r="113" spans="1:15" x14ac:dyDescent="0.3">
      <c r="A113" s="17"/>
      <c r="B113" s="17"/>
      <c r="C113" s="17"/>
      <c r="D113" s="17"/>
      <c r="E113" s="17"/>
      <c r="F113" s="521"/>
      <c r="G113" s="17"/>
      <c r="H113" s="17"/>
      <c r="I113" s="17"/>
      <c r="J113" s="17"/>
      <c r="K113" s="17"/>
      <c r="L113" s="17"/>
      <c r="M113" s="17"/>
      <c r="N113" s="17"/>
      <c r="O113" s="521"/>
    </row>
    <row r="114" spans="1:15" ht="26" x14ac:dyDescent="0.3">
      <c r="A114" s="523" t="s">
        <v>1984</v>
      </c>
      <c r="B114" s="17"/>
      <c r="C114" s="17"/>
      <c r="D114" s="17"/>
      <c r="E114" s="17"/>
      <c r="F114" s="521"/>
      <c r="G114" s="17"/>
      <c r="H114" s="17"/>
      <c r="I114" s="17"/>
      <c r="J114" s="17"/>
      <c r="K114" s="17"/>
      <c r="L114" s="17"/>
      <c r="M114" s="17"/>
      <c r="N114" s="17"/>
      <c r="O114" s="521"/>
    </row>
    <row r="115" spans="1:15" x14ac:dyDescent="0.3">
      <c r="A115" s="17"/>
      <c r="B115" s="17"/>
      <c r="C115" s="17"/>
      <c r="D115" s="17"/>
      <c r="E115" s="17"/>
      <c r="F115" s="521"/>
      <c r="G115" s="17"/>
      <c r="H115" s="17"/>
      <c r="I115" s="17"/>
      <c r="J115" s="17"/>
      <c r="K115" s="17"/>
      <c r="L115" s="17"/>
      <c r="M115" s="17"/>
      <c r="N115" s="17"/>
      <c r="O115" s="521"/>
    </row>
    <row r="116" spans="1:15" x14ac:dyDescent="0.3">
      <c r="A116" s="543" t="s">
        <v>2158</v>
      </c>
      <c r="B116" s="17"/>
      <c r="C116" s="17"/>
      <c r="D116" s="17"/>
      <c r="E116" s="17"/>
      <c r="F116" s="521"/>
      <c r="G116" s="17"/>
      <c r="H116" s="17"/>
      <c r="I116" s="17"/>
      <c r="J116" s="17"/>
      <c r="K116" s="17"/>
      <c r="L116" s="17"/>
      <c r="M116" s="17"/>
      <c r="N116" s="17"/>
      <c r="O116" s="521"/>
    </row>
    <row r="117" spans="1:15" ht="26" x14ac:dyDescent="0.3">
      <c r="A117" s="544" t="s">
        <v>2159</v>
      </c>
      <c r="B117" s="17"/>
      <c r="C117" s="17"/>
      <c r="D117" s="17"/>
      <c r="E117" s="17"/>
      <c r="F117" s="521"/>
      <c r="G117" s="17"/>
      <c r="H117" s="17"/>
      <c r="I117" s="17"/>
      <c r="J117" s="17"/>
      <c r="K117" s="17"/>
      <c r="L117" s="17"/>
      <c r="M117" s="17"/>
      <c r="N117" s="17"/>
      <c r="O117" s="521"/>
    </row>
    <row r="118" spans="1:15" x14ac:dyDescent="0.3">
      <c r="A118" s="544" t="s">
        <v>2161</v>
      </c>
      <c r="B118" s="17"/>
      <c r="C118" s="17"/>
      <c r="D118" s="17"/>
      <c r="E118" s="17"/>
      <c r="F118" s="521"/>
      <c r="G118" s="17"/>
      <c r="H118" s="17"/>
      <c r="I118" s="17"/>
      <c r="J118" s="17"/>
      <c r="K118" s="17"/>
      <c r="L118" s="17"/>
      <c r="M118" s="17"/>
      <c r="N118" s="17"/>
      <c r="O118" s="521"/>
    </row>
    <row r="119" spans="1:15" ht="26" x14ac:dyDescent="0.3">
      <c r="A119" s="544" t="s">
        <v>2160</v>
      </c>
      <c r="B119" s="17"/>
      <c r="C119" s="17"/>
      <c r="D119" s="17"/>
      <c r="E119" s="17"/>
      <c r="F119" s="521"/>
      <c r="G119" s="17"/>
      <c r="H119" s="17"/>
      <c r="I119" s="17"/>
      <c r="J119" s="17"/>
      <c r="K119" s="17"/>
      <c r="L119" s="17"/>
      <c r="M119" s="17"/>
      <c r="N119" s="17"/>
      <c r="O119" s="521"/>
    </row>
    <row r="120" spans="1:15" x14ac:dyDescent="0.3">
      <c r="A120" s="545" t="s">
        <v>2164</v>
      </c>
      <c r="B120" s="17"/>
      <c r="C120" s="17"/>
      <c r="D120" s="17"/>
      <c r="E120" s="17"/>
      <c r="F120" s="521"/>
      <c r="G120" s="17"/>
      <c r="H120" s="17"/>
      <c r="I120" s="17"/>
      <c r="J120" s="17"/>
      <c r="K120" s="17"/>
      <c r="L120" s="17"/>
      <c r="M120" s="17"/>
      <c r="N120" s="17"/>
      <c r="O120" s="521"/>
    </row>
    <row r="121" spans="1:15" x14ac:dyDescent="0.3">
      <c r="A121" s="546" t="s">
        <v>2166</v>
      </c>
      <c r="B121" s="17"/>
      <c r="C121" s="17"/>
      <c r="D121" s="17"/>
      <c r="E121" s="17"/>
      <c r="F121" s="521"/>
      <c r="G121" s="17"/>
      <c r="H121" s="17"/>
      <c r="I121" s="17"/>
      <c r="J121" s="17"/>
      <c r="K121" s="17"/>
      <c r="L121" s="17"/>
      <c r="M121" s="17"/>
      <c r="N121" s="17"/>
      <c r="O121" s="521"/>
    </row>
    <row r="122" spans="1:15" x14ac:dyDescent="0.3">
      <c r="A122" s="546" t="s">
        <v>2163</v>
      </c>
      <c r="B122" s="17"/>
      <c r="C122" s="17"/>
      <c r="D122" s="17"/>
      <c r="E122" s="17"/>
      <c r="F122" s="521"/>
      <c r="G122" s="17"/>
      <c r="H122" s="17"/>
      <c r="I122" s="17"/>
      <c r="J122" s="17"/>
      <c r="K122" s="17"/>
      <c r="L122" s="17"/>
      <c r="M122" s="17"/>
      <c r="N122" s="17"/>
      <c r="O122" s="521"/>
    </row>
    <row r="123" spans="1:15" x14ac:dyDescent="0.3">
      <c r="A123" s="546" t="s">
        <v>2162</v>
      </c>
      <c r="B123" s="17"/>
      <c r="C123" s="17"/>
      <c r="D123" s="17"/>
      <c r="E123" s="17"/>
      <c r="F123" s="521"/>
      <c r="G123" s="17"/>
      <c r="H123" s="17"/>
      <c r="I123" s="17"/>
      <c r="J123" s="17"/>
      <c r="K123" s="17"/>
      <c r="L123" s="17"/>
      <c r="M123" s="17"/>
      <c r="N123" s="17"/>
      <c r="O123" s="521"/>
    </row>
    <row r="124" spans="1:15" x14ac:dyDescent="0.3">
      <c r="A124" s="546" t="s">
        <v>2165</v>
      </c>
      <c r="B124" s="17"/>
      <c r="C124" s="17"/>
      <c r="D124" s="17"/>
      <c r="E124" s="17"/>
      <c r="F124" s="521"/>
      <c r="G124" s="17"/>
      <c r="H124" s="17"/>
      <c r="I124" s="17"/>
      <c r="J124" s="17"/>
      <c r="K124" s="17"/>
      <c r="L124" s="17"/>
      <c r="M124" s="17"/>
      <c r="N124" s="17"/>
      <c r="O124" s="521"/>
    </row>
    <row r="125" spans="1:15" x14ac:dyDescent="0.3">
      <c r="A125" s="547"/>
      <c r="B125" s="17"/>
      <c r="C125" s="17"/>
      <c r="D125" s="17"/>
      <c r="E125" s="17"/>
      <c r="F125" s="521"/>
      <c r="G125" s="17"/>
      <c r="H125" s="17"/>
      <c r="I125" s="17"/>
      <c r="J125" s="17"/>
      <c r="K125" s="17"/>
      <c r="L125" s="17"/>
      <c r="M125" s="17"/>
      <c r="N125" s="17"/>
      <c r="O125" s="521"/>
    </row>
    <row r="126" spans="1:15" x14ac:dyDescent="0.3">
      <c r="A126" s="17"/>
      <c r="B126" s="17"/>
      <c r="C126" s="17"/>
      <c r="D126" s="17"/>
      <c r="E126" s="17"/>
      <c r="F126" s="521"/>
      <c r="G126" s="17"/>
      <c r="H126" s="17"/>
      <c r="I126" s="17"/>
      <c r="J126" s="17"/>
      <c r="K126" s="17"/>
      <c r="L126" s="17"/>
      <c r="M126" s="17"/>
      <c r="N126" s="17"/>
      <c r="O126" s="521"/>
    </row>
    <row r="127" spans="1:15" x14ac:dyDescent="0.3">
      <c r="A127" s="17"/>
      <c r="B127" s="17"/>
      <c r="C127" s="17"/>
      <c r="D127" s="17"/>
      <c r="E127" s="17"/>
      <c r="F127" s="521"/>
      <c r="G127" s="17"/>
      <c r="H127" s="17"/>
      <c r="I127" s="17"/>
      <c r="J127" s="17"/>
      <c r="K127" s="17"/>
      <c r="L127" s="17"/>
      <c r="M127" s="17"/>
      <c r="N127" s="17"/>
      <c r="O127" s="521"/>
    </row>
    <row r="128" spans="1:15" x14ac:dyDescent="0.3">
      <c r="A128" s="17"/>
      <c r="B128" s="17"/>
      <c r="C128" s="17"/>
      <c r="D128" s="17"/>
      <c r="E128" s="17"/>
      <c r="F128" s="521"/>
      <c r="G128" s="17"/>
      <c r="H128" s="17"/>
      <c r="I128" s="17"/>
      <c r="J128" s="17"/>
      <c r="K128" s="17"/>
      <c r="L128" s="17"/>
      <c r="M128" s="17"/>
      <c r="N128" s="17"/>
      <c r="O128" s="521"/>
    </row>
    <row r="129" spans="1:15" x14ac:dyDescent="0.3">
      <c r="A129" s="17"/>
      <c r="B129" s="17"/>
      <c r="C129" s="17"/>
      <c r="D129" s="17"/>
      <c r="E129" s="17"/>
      <c r="F129" s="521"/>
      <c r="G129" s="17"/>
      <c r="H129" s="17"/>
      <c r="I129" s="17"/>
      <c r="J129" s="17"/>
      <c r="K129" s="17"/>
      <c r="L129" s="17"/>
      <c r="M129" s="17"/>
      <c r="N129" s="17"/>
      <c r="O129" s="521"/>
    </row>
    <row r="130" spans="1:15" x14ac:dyDescent="0.3">
      <c r="A130" s="17"/>
      <c r="B130" s="17"/>
      <c r="C130" s="17"/>
      <c r="D130" s="17"/>
      <c r="E130" s="17"/>
      <c r="F130" s="521"/>
      <c r="G130" s="17"/>
      <c r="H130" s="17"/>
      <c r="I130" s="17"/>
      <c r="J130" s="17"/>
      <c r="K130" s="17"/>
      <c r="L130" s="17"/>
      <c r="M130" s="17"/>
      <c r="N130" s="17"/>
      <c r="O130" s="521"/>
    </row>
    <row r="131" spans="1:15" x14ac:dyDescent="0.3">
      <c r="A131" s="17"/>
      <c r="B131" s="17"/>
      <c r="C131" s="17"/>
      <c r="D131" s="17"/>
      <c r="E131" s="17"/>
      <c r="F131" s="521"/>
      <c r="G131" s="17"/>
      <c r="H131" s="17"/>
      <c r="I131" s="17"/>
      <c r="J131" s="17"/>
      <c r="K131" s="17"/>
      <c r="L131" s="17"/>
      <c r="M131" s="17"/>
      <c r="N131" s="17"/>
      <c r="O131" s="521"/>
    </row>
    <row r="132" spans="1:15" x14ac:dyDescent="0.3">
      <c r="A132" s="17"/>
      <c r="B132" s="17"/>
      <c r="C132" s="17"/>
      <c r="D132" s="17"/>
      <c r="E132" s="17"/>
      <c r="F132" s="521"/>
      <c r="G132" s="17"/>
      <c r="H132" s="17"/>
      <c r="I132" s="17"/>
      <c r="J132" s="17"/>
      <c r="K132" s="17"/>
      <c r="L132" s="17"/>
      <c r="M132" s="17"/>
      <c r="N132" s="17"/>
      <c r="O132" s="521"/>
    </row>
    <row r="133" spans="1:15" x14ac:dyDescent="0.3">
      <c r="A133" s="17"/>
      <c r="B133" s="17"/>
      <c r="C133" s="17"/>
      <c r="D133" s="17"/>
      <c r="E133" s="17"/>
      <c r="F133" s="521"/>
      <c r="G133" s="17"/>
      <c r="H133" s="17"/>
      <c r="I133" s="17"/>
      <c r="J133" s="17"/>
      <c r="K133" s="17"/>
      <c r="L133" s="17"/>
      <c r="M133" s="17"/>
      <c r="N133" s="17"/>
      <c r="O133" s="521"/>
    </row>
    <row r="134" spans="1:15" x14ac:dyDescent="0.3">
      <c r="A134" s="17"/>
      <c r="B134" s="17"/>
      <c r="C134" s="17"/>
      <c r="D134" s="17"/>
      <c r="E134" s="17"/>
      <c r="F134" s="521"/>
      <c r="G134" s="17"/>
      <c r="H134" s="17"/>
      <c r="I134" s="17"/>
      <c r="J134" s="17"/>
      <c r="K134" s="17"/>
      <c r="L134" s="17"/>
      <c r="M134" s="17"/>
      <c r="N134" s="17"/>
      <c r="O134" s="521"/>
    </row>
    <row r="135" spans="1:15" x14ac:dyDescent="0.3">
      <c r="A135" s="17"/>
      <c r="B135" s="17"/>
      <c r="C135" s="17"/>
      <c r="D135" s="17"/>
      <c r="E135" s="17"/>
      <c r="F135" s="521"/>
      <c r="G135" s="17"/>
      <c r="H135" s="17"/>
      <c r="I135" s="17"/>
      <c r="J135" s="17"/>
      <c r="K135" s="17"/>
      <c r="L135" s="17"/>
      <c r="M135" s="17"/>
      <c r="N135" s="17"/>
      <c r="O135" s="521"/>
    </row>
    <row r="136" spans="1:15" x14ac:dyDescent="0.3">
      <c r="A136" s="17"/>
      <c r="B136" s="17"/>
      <c r="C136" s="17"/>
      <c r="D136" s="17"/>
      <c r="E136" s="17"/>
      <c r="F136" s="521"/>
      <c r="G136" s="17"/>
      <c r="H136" s="17"/>
      <c r="I136" s="17"/>
      <c r="J136" s="17"/>
      <c r="K136" s="17"/>
      <c r="L136" s="17"/>
      <c r="M136" s="17"/>
      <c r="N136" s="17"/>
      <c r="O136" s="521"/>
    </row>
    <row r="137" spans="1:15" x14ac:dyDescent="0.3">
      <c r="A137" s="17"/>
      <c r="B137" s="17"/>
      <c r="C137" s="17"/>
      <c r="D137" s="17"/>
      <c r="E137" s="17"/>
      <c r="F137" s="521"/>
      <c r="G137" s="17"/>
      <c r="H137" s="17"/>
      <c r="I137" s="17"/>
      <c r="J137" s="17"/>
      <c r="K137" s="17"/>
      <c r="L137" s="17"/>
      <c r="M137" s="17"/>
      <c r="N137" s="17"/>
      <c r="O137" s="521"/>
    </row>
    <row r="138" spans="1:15" x14ac:dyDescent="0.3">
      <c r="A138" s="17"/>
      <c r="B138" s="17"/>
      <c r="C138" s="17"/>
      <c r="D138" s="17"/>
      <c r="E138" s="17"/>
      <c r="F138" s="521"/>
      <c r="G138" s="17"/>
      <c r="H138" s="17"/>
      <c r="I138" s="17"/>
      <c r="J138" s="17"/>
      <c r="K138" s="17"/>
      <c r="L138" s="17"/>
      <c r="M138" s="17"/>
      <c r="N138" s="17"/>
      <c r="O138" s="521"/>
    </row>
    <row r="139" spans="1:15" x14ac:dyDescent="0.3">
      <c r="A139" s="17"/>
      <c r="B139" s="17"/>
      <c r="C139" s="17"/>
      <c r="D139" s="17"/>
      <c r="E139" s="17"/>
      <c r="F139" s="521"/>
      <c r="G139" s="17"/>
      <c r="H139" s="17"/>
      <c r="I139" s="17"/>
      <c r="J139" s="17"/>
      <c r="K139" s="17"/>
      <c r="L139" s="17"/>
      <c r="M139" s="17"/>
      <c r="N139" s="17"/>
      <c r="O139" s="521"/>
    </row>
    <row r="140" spans="1:15" x14ac:dyDescent="0.3">
      <c r="A140" s="17"/>
      <c r="B140" s="17"/>
      <c r="C140" s="17"/>
      <c r="D140" s="17"/>
      <c r="E140" s="17"/>
      <c r="F140" s="521"/>
      <c r="G140" s="17"/>
      <c r="H140" s="17"/>
      <c r="I140" s="17"/>
      <c r="J140" s="17"/>
      <c r="K140" s="17"/>
      <c r="L140" s="17"/>
      <c r="M140" s="17"/>
      <c r="N140" s="17"/>
      <c r="O140" s="521"/>
    </row>
    <row r="141" spans="1:15" x14ac:dyDescent="0.3">
      <c r="A141" s="17"/>
      <c r="B141" s="17"/>
      <c r="C141" s="17"/>
      <c r="D141" s="17"/>
      <c r="E141" s="17"/>
      <c r="F141" s="521"/>
      <c r="G141" s="17"/>
      <c r="H141" s="17"/>
      <c r="I141" s="17"/>
      <c r="J141" s="17"/>
      <c r="K141" s="17"/>
      <c r="L141" s="17"/>
      <c r="M141" s="17"/>
      <c r="N141" s="17"/>
      <c r="O141" s="521"/>
    </row>
    <row r="142" spans="1:15" x14ac:dyDescent="0.3">
      <c r="A142" s="17"/>
      <c r="B142" s="17"/>
      <c r="C142" s="17"/>
      <c r="D142" s="17"/>
      <c r="E142" s="17"/>
      <c r="F142" s="521"/>
      <c r="G142" s="17"/>
      <c r="H142" s="17"/>
      <c r="I142" s="17"/>
      <c r="J142" s="17"/>
      <c r="K142" s="17"/>
      <c r="L142" s="17"/>
      <c r="M142" s="17"/>
      <c r="N142" s="17"/>
      <c r="O142" s="521"/>
    </row>
    <row r="143" spans="1:15" x14ac:dyDescent="0.3">
      <c r="A143" s="17"/>
      <c r="B143" s="17"/>
      <c r="C143" s="17"/>
      <c r="D143" s="17"/>
      <c r="E143" s="17"/>
      <c r="F143" s="521"/>
      <c r="G143" s="17"/>
      <c r="H143" s="17"/>
      <c r="I143" s="17"/>
      <c r="J143" s="17"/>
      <c r="K143" s="17"/>
      <c r="L143" s="17"/>
      <c r="M143" s="17"/>
      <c r="N143" s="17"/>
      <c r="O143" s="521"/>
    </row>
    <row r="144" spans="1:15" x14ac:dyDescent="0.3">
      <c r="A144" s="17"/>
      <c r="B144" s="17"/>
      <c r="C144" s="17"/>
      <c r="D144" s="17"/>
      <c r="E144" s="17"/>
      <c r="F144" s="521"/>
      <c r="G144" s="17"/>
      <c r="H144" s="17"/>
      <c r="I144" s="17"/>
      <c r="J144" s="17"/>
      <c r="K144" s="17"/>
      <c r="L144" s="17"/>
      <c r="M144" s="17"/>
      <c r="N144" s="17"/>
      <c r="O144" s="521"/>
    </row>
    <row r="145" spans="1:15" x14ac:dyDescent="0.3">
      <c r="A145" s="17"/>
      <c r="B145" s="17"/>
      <c r="C145" s="17"/>
      <c r="D145" s="17"/>
      <c r="E145" s="17"/>
      <c r="F145" s="521"/>
      <c r="G145" s="17"/>
      <c r="H145" s="17"/>
      <c r="I145" s="17"/>
      <c r="J145" s="17"/>
      <c r="K145" s="17"/>
      <c r="L145" s="17"/>
      <c r="M145" s="17"/>
      <c r="N145" s="17"/>
      <c r="O145" s="521"/>
    </row>
    <row r="146" spans="1:15" x14ac:dyDescent="0.3">
      <c r="A146" s="17"/>
      <c r="B146" s="17"/>
      <c r="C146" s="17"/>
      <c r="D146" s="17"/>
      <c r="E146" s="17"/>
      <c r="F146" s="521"/>
      <c r="G146" s="17"/>
      <c r="H146" s="17"/>
      <c r="I146" s="17"/>
      <c r="J146" s="17"/>
      <c r="K146" s="17"/>
      <c r="L146" s="17"/>
      <c r="M146" s="17"/>
      <c r="N146" s="17"/>
      <c r="O146" s="521"/>
    </row>
    <row r="147" spans="1:15" x14ac:dyDescent="0.3">
      <c r="A147" s="17"/>
      <c r="B147" s="17"/>
      <c r="C147" s="17"/>
      <c r="D147" s="17"/>
      <c r="E147" s="17"/>
      <c r="F147" s="521"/>
      <c r="G147" s="17"/>
      <c r="H147" s="17"/>
      <c r="I147" s="17"/>
      <c r="J147" s="17"/>
      <c r="K147" s="17"/>
      <c r="L147" s="17"/>
      <c r="M147" s="17"/>
      <c r="N147" s="17"/>
      <c r="O147" s="521"/>
    </row>
    <row r="148" spans="1:15" x14ac:dyDescent="0.3">
      <c r="A148" s="17"/>
      <c r="B148" s="17"/>
      <c r="C148" s="17"/>
      <c r="D148" s="17"/>
      <c r="E148" s="17"/>
      <c r="F148" s="521"/>
      <c r="G148" s="17"/>
      <c r="H148" s="17"/>
      <c r="I148" s="17"/>
      <c r="J148" s="17"/>
      <c r="K148" s="17"/>
      <c r="L148" s="17"/>
      <c r="M148" s="17"/>
      <c r="N148" s="17"/>
      <c r="O148" s="521"/>
    </row>
    <row r="149" spans="1:15" x14ac:dyDescent="0.3">
      <c r="A149" s="17"/>
      <c r="B149" s="17"/>
      <c r="C149" s="17"/>
      <c r="D149" s="17"/>
      <c r="E149" s="17"/>
      <c r="F149" s="521"/>
      <c r="G149" s="17"/>
      <c r="H149" s="17"/>
      <c r="I149" s="17"/>
      <c r="J149" s="17"/>
      <c r="K149" s="17"/>
      <c r="L149" s="17"/>
      <c r="M149" s="17"/>
      <c r="N149" s="17"/>
      <c r="O149" s="521"/>
    </row>
    <row r="150" spans="1:15" x14ac:dyDescent="0.3">
      <c r="A150" s="17"/>
      <c r="B150" s="17"/>
      <c r="C150" s="17"/>
      <c r="D150" s="17"/>
      <c r="E150" s="17"/>
      <c r="F150" s="521"/>
      <c r="G150" s="17"/>
      <c r="H150" s="17"/>
      <c r="I150" s="17"/>
      <c r="J150" s="17"/>
      <c r="K150" s="17"/>
      <c r="L150" s="17"/>
      <c r="M150" s="17"/>
      <c r="N150" s="17"/>
      <c r="O150" s="521"/>
    </row>
    <row r="151" spans="1:15" x14ac:dyDescent="0.3">
      <c r="A151" s="17"/>
      <c r="B151" s="17"/>
      <c r="C151" s="17"/>
      <c r="D151" s="17"/>
      <c r="E151" s="17"/>
      <c r="F151" s="521"/>
      <c r="G151" s="17"/>
      <c r="H151" s="17"/>
      <c r="I151" s="17"/>
      <c r="J151" s="17"/>
      <c r="K151" s="17"/>
      <c r="L151" s="17"/>
      <c r="M151" s="17"/>
      <c r="N151" s="17"/>
      <c r="O151" s="521"/>
    </row>
    <row r="152" spans="1:15" x14ac:dyDescent="0.3">
      <c r="A152" s="17"/>
      <c r="B152" s="17"/>
      <c r="C152" s="17"/>
      <c r="D152" s="17"/>
      <c r="E152" s="17"/>
      <c r="F152" s="521"/>
      <c r="G152" s="17"/>
      <c r="H152" s="17"/>
      <c r="I152" s="17"/>
      <c r="J152" s="17"/>
      <c r="K152" s="17"/>
      <c r="L152" s="17"/>
      <c r="M152" s="17"/>
      <c r="N152" s="17"/>
      <c r="O152" s="521"/>
    </row>
    <row r="153" spans="1:15" x14ac:dyDescent="0.3">
      <c r="A153" s="17"/>
      <c r="B153" s="17"/>
      <c r="C153" s="17"/>
      <c r="D153" s="17"/>
      <c r="E153" s="17"/>
      <c r="F153" s="521"/>
      <c r="G153" s="17"/>
      <c r="H153" s="17"/>
      <c r="I153" s="17"/>
      <c r="J153" s="17"/>
      <c r="K153" s="17"/>
      <c r="L153" s="17"/>
      <c r="M153" s="17"/>
      <c r="N153" s="17"/>
      <c r="O153" s="521"/>
    </row>
    <row r="154" spans="1:15" x14ac:dyDescent="0.3">
      <c r="A154" s="17"/>
      <c r="B154" s="17"/>
      <c r="C154" s="17"/>
      <c r="D154" s="17"/>
      <c r="E154" s="17"/>
      <c r="F154" s="521"/>
      <c r="G154" s="17"/>
      <c r="H154" s="17"/>
      <c r="I154" s="17"/>
      <c r="J154" s="17"/>
      <c r="K154" s="17"/>
      <c r="L154" s="17"/>
      <c r="M154" s="17"/>
      <c r="N154" s="17"/>
      <c r="O154" s="521"/>
    </row>
    <row r="155" spans="1:15" x14ac:dyDescent="0.3">
      <c r="A155" s="17"/>
      <c r="B155" s="17"/>
      <c r="C155" s="17"/>
      <c r="D155" s="17"/>
      <c r="E155" s="17"/>
      <c r="F155" s="521"/>
      <c r="G155" s="17"/>
      <c r="H155" s="17"/>
      <c r="I155" s="17"/>
      <c r="J155" s="17"/>
      <c r="K155" s="17"/>
      <c r="L155" s="17"/>
      <c r="M155" s="17"/>
      <c r="N155" s="17"/>
      <c r="O155" s="521"/>
    </row>
    <row r="156" spans="1:15" x14ac:dyDescent="0.3">
      <c r="A156" s="17"/>
      <c r="B156" s="17"/>
      <c r="C156" s="17"/>
      <c r="D156" s="17"/>
      <c r="E156" s="17"/>
      <c r="F156" s="521"/>
      <c r="G156" s="17"/>
      <c r="H156" s="17"/>
      <c r="I156" s="17"/>
      <c r="J156" s="17"/>
      <c r="K156" s="17"/>
      <c r="L156" s="17"/>
      <c r="M156" s="17"/>
      <c r="N156" s="17"/>
      <c r="O156" s="521"/>
    </row>
    <row r="157" spans="1:15" x14ac:dyDescent="0.3">
      <c r="A157" s="17"/>
      <c r="B157" s="17"/>
      <c r="C157" s="17"/>
      <c r="D157" s="17"/>
      <c r="E157" s="17"/>
      <c r="F157" s="521"/>
      <c r="G157" s="17"/>
      <c r="H157" s="17"/>
      <c r="I157" s="17"/>
      <c r="J157" s="17"/>
      <c r="K157" s="17"/>
      <c r="L157" s="17"/>
      <c r="M157" s="17"/>
      <c r="N157" s="17"/>
      <c r="O157" s="521"/>
    </row>
    <row r="158" spans="1:15" x14ac:dyDescent="0.3">
      <c r="A158" s="17"/>
      <c r="B158" s="17"/>
      <c r="C158" s="17"/>
      <c r="D158" s="17"/>
      <c r="E158" s="17"/>
      <c r="F158" s="521"/>
      <c r="G158" s="17"/>
      <c r="H158" s="17"/>
      <c r="I158" s="17"/>
      <c r="J158" s="17"/>
      <c r="K158" s="17"/>
      <c r="L158" s="17"/>
      <c r="M158" s="17"/>
      <c r="N158" s="17"/>
      <c r="O158" s="521"/>
    </row>
    <row r="159" spans="1:15" x14ac:dyDescent="0.3">
      <c r="A159" s="17"/>
      <c r="B159" s="17"/>
      <c r="C159" s="17"/>
      <c r="D159" s="17"/>
      <c r="E159" s="17"/>
      <c r="F159" s="521"/>
      <c r="G159" s="17"/>
      <c r="H159" s="17"/>
      <c r="I159" s="17"/>
      <c r="J159" s="17"/>
      <c r="K159" s="17"/>
      <c r="L159" s="17"/>
      <c r="M159" s="17"/>
      <c r="N159" s="17"/>
      <c r="O159" s="521"/>
    </row>
    <row r="160" spans="1:15" x14ac:dyDescent="0.3">
      <c r="A160" s="17"/>
      <c r="B160" s="17"/>
      <c r="C160" s="17"/>
      <c r="D160" s="17"/>
      <c r="E160" s="17"/>
      <c r="F160" s="521"/>
      <c r="G160" s="17"/>
      <c r="H160" s="17"/>
      <c r="I160" s="17"/>
      <c r="J160" s="17"/>
      <c r="K160" s="17"/>
      <c r="L160" s="17"/>
      <c r="M160" s="17"/>
      <c r="N160" s="17"/>
      <c r="O160" s="521"/>
    </row>
    <row r="161" spans="1:15" x14ac:dyDescent="0.3">
      <c r="A161" s="17"/>
      <c r="B161" s="17"/>
      <c r="C161" s="17"/>
      <c r="D161" s="17"/>
      <c r="E161" s="17"/>
      <c r="F161" s="521"/>
      <c r="G161" s="17"/>
      <c r="H161" s="17"/>
      <c r="I161" s="17"/>
      <c r="J161" s="17"/>
      <c r="K161" s="17"/>
      <c r="L161" s="17"/>
      <c r="M161" s="17"/>
      <c r="N161" s="17"/>
      <c r="O161" s="521"/>
    </row>
    <row r="162" spans="1:15" x14ac:dyDescent="0.3">
      <c r="A162" s="17"/>
      <c r="B162" s="17"/>
      <c r="C162" s="17"/>
      <c r="D162" s="17"/>
      <c r="E162" s="17"/>
      <c r="F162" s="521"/>
      <c r="G162" s="17"/>
      <c r="H162" s="17"/>
      <c r="I162" s="17"/>
      <c r="J162" s="17"/>
      <c r="K162" s="17"/>
      <c r="L162" s="17"/>
      <c r="M162" s="17"/>
      <c r="N162" s="17"/>
      <c r="O162" s="521"/>
    </row>
    <row r="163" spans="1:15" x14ac:dyDescent="0.3">
      <c r="A163" s="17"/>
      <c r="B163" s="17"/>
      <c r="C163" s="17"/>
      <c r="D163" s="17"/>
      <c r="E163" s="17"/>
      <c r="F163" s="521"/>
      <c r="G163" s="17"/>
      <c r="H163" s="17"/>
      <c r="I163" s="17"/>
      <c r="J163" s="17"/>
      <c r="K163" s="17"/>
      <c r="L163" s="17"/>
      <c r="M163" s="17"/>
      <c r="N163" s="17"/>
      <c r="O163" s="521"/>
    </row>
    <row r="164" spans="1:15" x14ac:dyDescent="0.3">
      <c r="A164" s="17"/>
      <c r="B164" s="17"/>
      <c r="C164" s="17"/>
      <c r="D164" s="17"/>
      <c r="E164" s="17"/>
      <c r="F164" s="521"/>
      <c r="G164" s="17"/>
      <c r="H164" s="17"/>
      <c r="I164" s="17"/>
      <c r="J164" s="17"/>
      <c r="K164" s="17"/>
      <c r="L164" s="17"/>
      <c r="M164" s="17"/>
      <c r="N164" s="17"/>
      <c r="O164" s="521"/>
    </row>
    <row r="165" spans="1:15" x14ac:dyDescent="0.3">
      <c r="A165" s="17"/>
      <c r="B165" s="17"/>
      <c r="C165" s="17"/>
      <c r="D165" s="17"/>
      <c r="E165" s="17"/>
      <c r="F165" s="521"/>
      <c r="G165" s="17"/>
      <c r="H165" s="17"/>
      <c r="I165" s="17"/>
      <c r="J165" s="17"/>
      <c r="K165" s="17"/>
      <c r="L165" s="17"/>
      <c r="M165" s="17"/>
      <c r="N165" s="17"/>
      <c r="O165" s="521"/>
    </row>
    <row r="166" spans="1:15" x14ac:dyDescent="0.3">
      <c r="A166" s="17"/>
      <c r="B166" s="17"/>
      <c r="C166" s="17"/>
      <c r="D166" s="17"/>
      <c r="E166" s="17"/>
      <c r="F166" s="521"/>
      <c r="G166" s="17"/>
      <c r="H166" s="17"/>
      <c r="I166" s="17"/>
      <c r="J166" s="17"/>
      <c r="K166" s="17"/>
      <c r="L166" s="17"/>
      <c r="M166" s="17"/>
      <c r="N166" s="17"/>
      <c r="O166" s="521"/>
    </row>
    <row r="167" spans="1:15" x14ac:dyDescent="0.3">
      <c r="A167" s="30"/>
    </row>
    <row r="168" spans="1:15" x14ac:dyDescent="0.3">
      <c r="A168" s="30"/>
    </row>
    <row r="169" spans="1:15" x14ac:dyDescent="0.3">
      <c r="A169" s="30"/>
    </row>
    <row r="170" spans="1:15" x14ac:dyDescent="0.3">
      <c r="A170" s="30"/>
    </row>
    <row r="171" spans="1:15" x14ac:dyDescent="0.3">
      <c r="A171" s="30"/>
    </row>
    <row r="172" spans="1:15" x14ac:dyDescent="0.3">
      <c r="A172" s="30"/>
    </row>
    <row r="173" spans="1:15" x14ac:dyDescent="0.3">
      <c r="A173" s="30"/>
    </row>
    <row r="174" spans="1:15" x14ac:dyDescent="0.3">
      <c r="A174" s="30"/>
    </row>
    <row r="175" spans="1:15" x14ac:dyDescent="0.3">
      <c r="A175" s="30"/>
    </row>
    <row r="176" spans="1:15" x14ac:dyDescent="0.3">
      <c r="A176" s="30"/>
    </row>
    <row r="177" spans="1:1" x14ac:dyDescent="0.3">
      <c r="A177" s="30"/>
    </row>
    <row r="178" spans="1:1" x14ac:dyDescent="0.3">
      <c r="A178" s="30"/>
    </row>
    <row r="179" spans="1:1" x14ac:dyDescent="0.3">
      <c r="A179" s="30"/>
    </row>
    <row r="180" spans="1:1" x14ac:dyDescent="0.3">
      <c r="A180" s="30"/>
    </row>
    <row r="181" spans="1:1" x14ac:dyDescent="0.3">
      <c r="A181" s="30"/>
    </row>
    <row r="182" spans="1:1" x14ac:dyDescent="0.3">
      <c r="A182" s="30"/>
    </row>
    <row r="183" spans="1:1" x14ac:dyDescent="0.3">
      <c r="A183" s="30"/>
    </row>
    <row r="184" spans="1:1" x14ac:dyDescent="0.3">
      <c r="A184" s="30"/>
    </row>
    <row r="185" spans="1:1" x14ac:dyDescent="0.3">
      <c r="A185" s="30"/>
    </row>
    <row r="186" spans="1:1" x14ac:dyDescent="0.3">
      <c r="A186" s="30"/>
    </row>
    <row r="187" spans="1:1" x14ac:dyDescent="0.3">
      <c r="A187" s="30"/>
    </row>
    <row r="188" spans="1:1" x14ac:dyDescent="0.3">
      <c r="A188" s="30"/>
    </row>
    <row r="189" spans="1:1" x14ac:dyDescent="0.3">
      <c r="A189" s="30"/>
    </row>
    <row r="190" spans="1:1" x14ac:dyDescent="0.3">
      <c r="A190" s="30"/>
    </row>
    <row r="191" spans="1:1" x14ac:dyDescent="0.3">
      <c r="A191" s="30"/>
    </row>
    <row r="192" spans="1:1" x14ac:dyDescent="0.3">
      <c r="A192" s="30"/>
    </row>
    <row r="193" spans="1:1" x14ac:dyDescent="0.3">
      <c r="A193" s="30"/>
    </row>
    <row r="194" spans="1:1" x14ac:dyDescent="0.3">
      <c r="A194" s="30"/>
    </row>
    <row r="195" spans="1:1" x14ac:dyDescent="0.3">
      <c r="A195" s="30"/>
    </row>
    <row r="196" spans="1:1" x14ac:dyDescent="0.3">
      <c r="A196" s="30"/>
    </row>
    <row r="197" spans="1:1" x14ac:dyDescent="0.3">
      <c r="A197" s="30"/>
    </row>
    <row r="198" spans="1:1" x14ac:dyDescent="0.3">
      <c r="A198" s="30"/>
    </row>
    <row r="199" spans="1:1" x14ac:dyDescent="0.3">
      <c r="A199" s="30"/>
    </row>
    <row r="200" spans="1:1" x14ac:dyDescent="0.3">
      <c r="A200" s="30"/>
    </row>
    <row r="201" spans="1:1" x14ac:dyDescent="0.3">
      <c r="A201" s="30"/>
    </row>
    <row r="202" spans="1:1" x14ac:dyDescent="0.3">
      <c r="A202" s="30"/>
    </row>
    <row r="203" spans="1:1" x14ac:dyDescent="0.3">
      <c r="A203" s="30"/>
    </row>
    <row r="204" spans="1:1" x14ac:dyDescent="0.3">
      <c r="A204" s="30"/>
    </row>
    <row r="205" spans="1:1" x14ac:dyDescent="0.3">
      <c r="A205" s="30"/>
    </row>
    <row r="206" spans="1:1" x14ac:dyDescent="0.3">
      <c r="A206" s="30"/>
    </row>
    <row r="207" spans="1:1" x14ac:dyDescent="0.3">
      <c r="A207" s="30"/>
    </row>
    <row r="208" spans="1:1" x14ac:dyDescent="0.3">
      <c r="A208" s="30"/>
    </row>
    <row r="209" spans="1:1" x14ac:dyDescent="0.3">
      <c r="A209" s="30"/>
    </row>
    <row r="210" spans="1:1" x14ac:dyDescent="0.3">
      <c r="A210" s="30"/>
    </row>
    <row r="211" spans="1:1" x14ac:dyDescent="0.3">
      <c r="A211" s="30"/>
    </row>
    <row r="212" spans="1:1" x14ac:dyDescent="0.3">
      <c r="A212" s="30"/>
    </row>
    <row r="213" spans="1:1" x14ac:dyDescent="0.3">
      <c r="A213" s="30"/>
    </row>
    <row r="214" spans="1:1" x14ac:dyDescent="0.3">
      <c r="A214" s="30"/>
    </row>
    <row r="215" spans="1:1" x14ac:dyDescent="0.3">
      <c r="A215" s="30"/>
    </row>
    <row r="216" spans="1:1" x14ac:dyDescent="0.3">
      <c r="A216" s="30"/>
    </row>
    <row r="217" spans="1:1" x14ac:dyDescent="0.3">
      <c r="A217" s="30"/>
    </row>
    <row r="218" spans="1:1" x14ac:dyDescent="0.3">
      <c r="A218" s="30"/>
    </row>
    <row r="219" spans="1:1" x14ac:dyDescent="0.3">
      <c r="A219" s="30"/>
    </row>
    <row r="220" spans="1:1" x14ac:dyDescent="0.3">
      <c r="A220" s="30"/>
    </row>
    <row r="221" spans="1:1" x14ac:dyDescent="0.3">
      <c r="A221" s="30"/>
    </row>
    <row r="222" spans="1:1" x14ac:dyDescent="0.3">
      <c r="A222" s="30"/>
    </row>
    <row r="223" spans="1:1" x14ac:dyDescent="0.3">
      <c r="A223" s="30"/>
    </row>
    <row r="224" spans="1:1" x14ac:dyDescent="0.3">
      <c r="A224" s="30"/>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6"/>
  <sheetViews>
    <sheetView zoomScaleNormal="100" workbookViewId="0">
      <selection activeCell="J2" sqref="J2"/>
    </sheetView>
  </sheetViews>
  <sheetFormatPr defaultColWidth="9.1796875" defaultRowHeight="12.5" x14ac:dyDescent="0.25"/>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18" customHeight="1" x14ac:dyDescent="0.3">
      <c r="B1" s="756" t="s">
        <v>2328</v>
      </c>
      <c r="C1" s="756"/>
      <c r="D1" s="756"/>
      <c r="E1" s="1707" t="str">
        <f>IF('Start here'!A6="","",'Start here'!A6)</f>
        <v/>
      </c>
      <c r="F1" s="1708"/>
      <c r="G1" s="1709"/>
      <c r="H1" s="1707" t="str">
        <f>IF('Start here'!A7="","",'Start here'!A7)</f>
        <v/>
      </c>
      <c r="I1" s="1708"/>
      <c r="J1" s="1709"/>
    </row>
    <row r="3" spans="2:15" ht="24" customHeight="1" x14ac:dyDescent="0.3">
      <c r="B3" s="728" t="s">
        <v>1778</v>
      </c>
      <c r="C3" s="792"/>
      <c r="D3" s="792"/>
      <c r="E3" s="792"/>
      <c r="F3" s="792"/>
      <c r="G3" s="792"/>
      <c r="H3" s="792"/>
      <c r="I3" s="792"/>
      <c r="J3" s="792"/>
    </row>
    <row r="4" spans="2:15" ht="18" customHeight="1" x14ac:dyDescent="0.3">
      <c r="B4" s="1717" t="s">
        <v>1777</v>
      </c>
      <c r="C4" s="1211"/>
      <c r="D4" s="1211"/>
      <c r="E4" s="1211"/>
      <c r="F4" s="1211"/>
      <c r="G4" s="1211"/>
      <c r="H4" s="1211"/>
      <c r="I4" s="1211"/>
      <c r="J4" s="1211"/>
    </row>
    <row r="5" spans="2:15" ht="208.5" customHeight="1" x14ac:dyDescent="0.3">
      <c r="B5" s="1718" t="s">
        <v>1776</v>
      </c>
      <c r="C5" s="1719"/>
      <c r="D5" s="1719"/>
      <c r="E5" s="1719"/>
      <c r="F5" s="1719"/>
      <c r="G5" s="1719"/>
      <c r="H5" s="1719"/>
      <c r="I5" s="1719"/>
      <c r="J5" s="1720"/>
    </row>
    <row r="6" spans="2:15" x14ac:dyDescent="0.25">
      <c r="B6" s="1710"/>
      <c r="C6" s="1710"/>
      <c r="D6" s="1710"/>
      <c r="E6" s="1710"/>
      <c r="F6" s="1710"/>
      <c r="G6" s="1710"/>
      <c r="H6" s="1710"/>
      <c r="I6" s="1710"/>
      <c r="J6" s="1710"/>
    </row>
    <row r="7" spans="2:15" ht="18" customHeight="1" x14ac:dyDescent="0.35">
      <c r="B7" s="727" t="s">
        <v>612</v>
      </c>
      <c r="C7" s="1242"/>
      <c r="D7" s="1242"/>
      <c r="E7" s="1242"/>
      <c r="F7" s="1242"/>
      <c r="G7" s="1242"/>
      <c r="H7" s="1242"/>
      <c r="I7" s="1242"/>
      <c r="J7" s="1242"/>
    </row>
    <row r="8" spans="2:15" ht="13" x14ac:dyDescent="0.3">
      <c r="B8" s="2"/>
      <c r="C8" s="2"/>
      <c r="D8" s="2"/>
      <c r="E8" s="2"/>
      <c r="F8" s="2"/>
      <c r="G8" s="2"/>
      <c r="H8" s="2"/>
      <c r="I8" s="2"/>
      <c r="J8" s="2"/>
    </row>
    <row r="9" spans="2:15" ht="18" customHeight="1" x14ac:dyDescent="0.3">
      <c r="B9" s="239"/>
      <c r="C9" s="2"/>
      <c r="D9" s="1711" t="s">
        <v>1538</v>
      </c>
      <c r="E9" s="1712"/>
      <c r="F9" s="1713"/>
      <c r="G9" s="2"/>
      <c r="H9" s="2"/>
      <c r="I9" s="2"/>
      <c r="J9" s="2"/>
      <c r="L9" s="343">
        <f t="shared" ref="L9:L26" si="0">IF(B9="",0,B9)</f>
        <v>0</v>
      </c>
      <c r="M9" s="343">
        <f>LARGE($L$9:$L$26,1)</f>
        <v>0</v>
      </c>
      <c r="N9" s="237">
        <f>M9+M10*(1-M9)</f>
        <v>0</v>
      </c>
      <c r="O9" s="344">
        <f t="shared" ref="O9:O25" si="1">ROUND(N9,2)</f>
        <v>0</v>
      </c>
    </row>
    <row r="10" spans="2:15" ht="18" customHeight="1" x14ac:dyDescent="0.3">
      <c r="B10" s="239"/>
      <c r="C10" s="2"/>
      <c r="D10" s="1714">
        <f>O25</f>
        <v>0</v>
      </c>
      <c r="E10" s="1715"/>
      <c r="F10" s="1716"/>
      <c r="G10" s="2"/>
      <c r="H10" s="2"/>
      <c r="I10" s="2"/>
      <c r="J10" s="2"/>
      <c r="L10" s="343">
        <f t="shared" si="0"/>
        <v>0</v>
      </c>
      <c r="M10" s="343">
        <f>LARGE($L$9:$L$26,2)</f>
        <v>0</v>
      </c>
      <c r="N10" s="237">
        <f t="shared" ref="N10:N25" si="2">O9+M11*(1-O9)</f>
        <v>0</v>
      </c>
      <c r="O10" s="344">
        <f t="shared" si="1"/>
        <v>0</v>
      </c>
    </row>
    <row r="11" spans="2:15" ht="18" customHeight="1" x14ac:dyDescent="0.3">
      <c r="B11" s="239"/>
      <c r="L11" s="343">
        <f t="shared" si="0"/>
        <v>0</v>
      </c>
      <c r="M11" s="343">
        <f>LARGE($L$9:$L$26,3)</f>
        <v>0</v>
      </c>
      <c r="N11" s="237">
        <f t="shared" si="2"/>
        <v>0</v>
      </c>
      <c r="O11" s="344">
        <f t="shared" si="1"/>
        <v>0</v>
      </c>
    </row>
    <row r="12" spans="2:15" ht="18" customHeight="1" x14ac:dyDescent="0.3">
      <c r="B12" s="239"/>
      <c r="L12" s="343">
        <f t="shared" si="0"/>
        <v>0</v>
      </c>
      <c r="M12" s="343">
        <f>LARGE($L$9:$L$26,4)</f>
        <v>0</v>
      </c>
      <c r="N12" s="237">
        <f t="shared" si="2"/>
        <v>0</v>
      </c>
      <c r="O12" s="344">
        <f t="shared" si="1"/>
        <v>0</v>
      </c>
    </row>
    <row r="13" spans="2:15" ht="18" customHeight="1" x14ac:dyDescent="0.3">
      <c r="B13" s="239"/>
      <c r="L13" s="343">
        <f t="shared" si="0"/>
        <v>0</v>
      </c>
      <c r="M13" s="343">
        <f>LARGE($L$9:$L$26,5)</f>
        <v>0</v>
      </c>
      <c r="N13" s="237">
        <f t="shared" si="2"/>
        <v>0</v>
      </c>
      <c r="O13" s="344">
        <f t="shared" si="1"/>
        <v>0</v>
      </c>
    </row>
    <row r="14" spans="2:15" ht="18" customHeight="1" x14ac:dyDescent="0.3">
      <c r="B14" s="239"/>
      <c r="L14" s="343">
        <f t="shared" si="0"/>
        <v>0</v>
      </c>
      <c r="M14" s="343">
        <f>LARGE($L$9:$L$26,6)</f>
        <v>0</v>
      </c>
      <c r="N14" s="237">
        <f t="shared" si="2"/>
        <v>0</v>
      </c>
      <c r="O14" s="344">
        <f t="shared" si="1"/>
        <v>0</v>
      </c>
    </row>
    <row r="15" spans="2:15" ht="18" customHeight="1" x14ac:dyDescent="0.3">
      <c r="B15" s="239"/>
      <c r="L15" s="343">
        <f t="shared" si="0"/>
        <v>0</v>
      </c>
      <c r="M15" s="343">
        <f>LARGE($L$9:$L$26,7)</f>
        <v>0</v>
      </c>
      <c r="N15" s="237">
        <f t="shared" si="2"/>
        <v>0</v>
      </c>
      <c r="O15" s="344">
        <f t="shared" si="1"/>
        <v>0</v>
      </c>
    </row>
    <row r="16" spans="2:15" ht="18" customHeight="1" x14ac:dyDescent="0.3">
      <c r="B16" s="239"/>
      <c r="L16" s="343">
        <f t="shared" si="0"/>
        <v>0</v>
      </c>
      <c r="M16" s="343">
        <f>LARGE($L$9:$L$26,8)</f>
        <v>0</v>
      </c>
      <c r="N16" s="237">
        <f t="shared" si="2"/>
        <v>0</v>
      </c>
      <c r="O16" s="344">
        <f t="shared" si="1"/>
        <v>0</v>
      </c>
    </row>
    <row r="17" spans="2:15" ht="18" customHeight="1" x14ac:dyDescent="0.3">
      <c r="B17" s="239"/>
      <c r="L17" s="343">
        <f t="shared" si="0"/>
        <v>0</v>
      </c>
      <c r="M17" s="343">
        <f>LARGE($L$9:$L$26,9)</f>
        <v>0</v>
      </c>
      <c r="N17" s="237">
        <f t="shared" si="2"/>
        <v>0</v>
      </c>
      <c r="O17" s="344">
        <f t="shared" si="1"/>
        <v>0</v>
      </c>
    </row>
    <row r="18" spans="2:15" ht="18" customHeight="1" x14ac:dyDescent="0.3">
      <c r="B18" s="239"/>
      <c r="L18" s="343">
        <f t="shared" si="0"/>
        <v>0</v>
      </c>
      <c r="M18" s="343">
        <f>LARGE($L$9:$L$26,10)</f>
        <v>0</v>
      </c>
      <c r="N18" s="237">
        <f t="shared" si="2"/>
        <v>0</v>
      </c>
      <c r="O18" s="344">
        <f t="shared" si="1"/>
        <v>0</v>
      </c>
    </row>
    <row r="19" spans="2:15" ht="18" customHeight="1" x14ac:dyDescent="0.3">
      <c r="B19" s="239"/>
      <c r="L19" s="343">
        <f t="shared" si="0"/>
        <v>0</v>
      </c>
      <c r="M19" s="343">
        <f>LARGE($L$9:$L$26,11)</f>
        <v>0</v>
      </c>
      <c r="N19" s="237">
        <f t="shared" si="2"/>
        <v>0</v>
      </c>
      <c r="O19" s="344">
        <f t="shared" si="1"/>
        <v>0</v>
      </c>
    </row>
    <row r="20" spans="2:15" ht="18" customHeight="1" x14ac:dyDescent="0.3">
      <c r="B20" s="239"/>
      <c r="L20" s="343">
        <f t="shared" si="0"/>
        <v>0</v>
      </c>
      <c r="M20" s="343">
        <f>LARGE($L$9:$L$26,12)</f>
        <v>0</v>
      </c>
      <c r="N20" s="237">
        <f t="shared" si="2"/>
        <v>0</v>
      </c>
      <c r="O20" s="344">
        <f t="shared" si="1"/>
        <v>0</v>
      </c>
    </row>
    <row r="21" spans="2:15" ht="18" customHeight="1" x14ac:dyDescent="0.3">
      <c r="B21" s="239"/>
      <c r="L21" s="343">
        <f t="shared" si="0"/>
        <v>0</v>
      </c>
      <c r="M21" s="343">
        <f>LARGE($L$9:$L$26,13)</f>
        <v>0</v>
      </c>
      <c r="N21" s="237">
        <f t="shared" si="2"/>
        <v>0</v>
      </c>
      <c r="O21" s="344">
        <f t="shared" si="1"/>
        <v>0</v>
      </c>
    </row>
    <row r="22" spans="2:15" ht="18" customHeight="1" x14ac:dyDescent="0.3">
      <c r="B22" s="239"/>
      <c r="L22" s="343">
        <f t="shared" si="0"/>
        <v>0</v>
      </c>
      <c r="M22" s="343">
        <f>LARGE($L$9:$L$26,14)</f>
        <v>0</v>
      </c>
      <c r="N22" s="237">
        <f t="shared" si="2"/>
        <v>0</v>
      </c>
      <c r="O22" s="344">
        <f t="shared" si="1"/>
        <v>0</v>
      </c>
    </row>
    <row r="23" spans="2:15" ht="18" customHeight="1" x14ac:dyDescent="0.3">
      <c r="B23" s="239"/>
      <c r="L23" s="343">
        <f t="shared" si="0"/>
        <v>0</v>
      </c>
      <c r="M23" s="343">
        <f>LARGE($L$9:$L$26,15)</f>
        <v>0</v>
      </c>
      <c r="N23" s="237">
        <f t="shared" si="2"/>
        <v>0</v>
      </c>
      <c r="O23" s="344">
        <f t="shared" si="1"/>
        <v>0</v>
      </c>
    </row>
    <row r="24" spans="2:15" ht="18" customHeight="1" thickBot="1" x14ac:dyDescent="0.35">
      <c r="B24" s="239"/>
      <c r="L24" s="343">
        <f t="shared" si="0"/>
        <v>0</v>
      </c>
      <c r="M24" s="343">
        <f>LARGE($L$9:$L$26,16)</f>
        <v>0</v>
      </c>
      <c r="N24" s="237">
        <f t="shared" si="2"/>
        <v>0</v>
      </c>
      <c r="O24" s="344">
        <f t="shared" si="1"/>
        <v>0</v>
      </c>
    </row>
    <row r="25" spans="2:15" ht="18" customHeight="1" thickBot="1" x14ac:dyDescent="0.35">
      <c r="B25" s="239"/>
      <c r="L25" s="343">
        <f t="shared" si="0"/>
        <v>0</v>
      </c>
      <c r="M25" s="343">
        <f>LARGE($L$9:$L$26,17)</f>
        <v>0</v>
      </c>
      <c r="N25" s="237">
        <f t="shared" si="2"/>
        <v>0</v>
      </c>
      <c r="O25" s="345">
        <f t="shared" si="1"/>
        <v>0</v>
      </c>
    </row>
    <row r="26" spans="2:15" ht="18" customHeight="1" x14ac:dyDescent="0.3">
      <c r="B26" s="239"/>
      <c r="L26" s="343">
        <f t="shared" si="0"/>
        <v>0</v>
      </c>
      <c r="M26" s="343">
        <f>LARGE($L$9:$L$26,18)</f>
        <v>0</v>
      </c>
    </row>
  </sheetData>
  <sheetProtection sheet="1" objects="1" scenarios="1"/>
  <mergeCells count="10">
    <mergeCell ref="D9:F9"/>
    <mergeCell ref="D10:F10"/>
    <mergeCell ref="B4:J4"/>
    <mergeCell ref="B7:J7"/>
    <mergeCell ref="B5:J5"/>
    <mergeCell ref="B1:D1"/>
    <mergeCell ref="E1:G1"/>
    <mergeCell ref="H1:J1"/>
    <mergeCell ref="B3:J3"/>
    <mergeCell ref="B6:J6"/>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5" x14ac:dyDescent="0.25"/>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topLeftCell="A5" zoomScale="90" zoomScaleNormal="90" workbookViewId="0">
      <selection activeCell="D26" sqref="D26"/>
    </sheetView>
  </sheetViews>
  <sheetFormatPr defaultColWidth="9.1796875" defaultRowHeight="13" x14ac:dyDescent="0.3"/>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3">
      <c r="A1" s="10" t="s">
        <v>1732</v>
      </c>
      <c r="C1" s="190"/>
      <c r="D1" s="747" t="str">
        <f>IF('Start here'!A6="","",'Start here'!A6)</f>
        <v/>
      </c>
      <c r="E1" s="751"/>
      <c r="F1" s="747" t="str">
        <f>IF('Start here'!A7="","",'Start here'!A7)</f>
        <v/>
      </c>
      <c r="G1" s="752"/>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3">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3">
      <c r="A3" s="928" t="s">
        <v>326</v>
      </c>
      <c r="B3" s="928"/>
      <c r="C3" s="928"/>
      <c r="D3" s="928"/>
      <c r="E3" s="928"/>
      <c r="F3" s="928"/>
    </row>
    <row r="4" spans="1:170" x14ac:dyDescent="0.3">
      <c r="A4" s="155">
        <v>38353</v>
      </c>
      <c r="B4" s="365">
        <v>688.56</v>
      </c>
      <c r="D4" s="2" t="s">
        <v>363</v>
      </c>
    </row>
    <row r="5" spans="1:170" x14ac:dyDescent="0.3">
      <c r="A5" s="155">
        <v>38534</v>
      </c>
      <c r="B5" s="365">
        <v>712.96</v>
      </c>
      <c r="D5" s="334" t="str">
        <f>IF('Start here'!A8="","",'Start here'!A8)</f>
        <v/>
      </c>
    </row>
    <row r="6" spans="1:170" x14ac:dyDescent="0.3">
      <c r="A6" s="155">
        <v>38899</v>
      </c>
      <c r="B6" s="365">
        <v>721.43</v>
      </c>
      <c r="D6" s="335">
        <f>IF(D5="",0,VLOOKUP(D5,A4:B30,2))</f>
        <v>0</v>
      </c>
      <c r="E6" s="308" t="s">
        <v>1660</v>
      </c>
      <c r="F6" s="310"/>
    </row>
    <row r="7" spans="1:170" x14ac:dyDescent="0.3">
      <c r="A7" s="155">
        <v>39264</v>
      </c>
      <c r="B7" s="365">
        <v>756.8</v>
      </c>
      <c r="D7" s="146" t="s">
        <v>324</v>
      </c>
    </row>
    <row r="8" spans="1:170" x14ac:dyDescent="0.3">
      <c r="A8" s="155">
        <v>39630</v>
      </c>
      <c r="B8" s="366">
        <v>790.38</v>
      </c>
      <c r="D8" s="335">
        <f>'PPD DOI on or after 2005'!N33</f>
        <v>0</v>
      </c>
    </row>
    <row r="9" spans="1:170" x14ac:dyDescent="0.3">
      <c r="A9" s="155">
        <v>39995</v>
      </c>
      <c r="B9" s="366">
        <v>800.6</v>
      </c>
      <c r="D9" s="146" t="s">
        <v>325</v>
      </c>
    </row>
    <row r="10" spans="1:170" x14ac:dyDescent="0.3">
      <c r="A10" s="155">
        <v>40360</v>
      </c>
      <c r="B10" s="366">
        <v>819.38</v>
      </c>
      <c r="D10" s="335">
        <f>ROUND(0.5*D6,2)</f>
        <v>0</v>
      </c>
    </row>
    <row r="11" spans="1:170" x14ac:dyDescent="0.3">
      <c r="A11" s="155">
        <v>40725</v>
      </c>
      <c r="B11" s="366">
        <v>842.52</v>
      </c>
      <c r="D11" s="146" t="s">
        <v>327</v>
      </c>
    </row>
    <row r="12" spans="1:170" x14ac:dyDescent="0.3">
      <c r="A12" s="155">
        <v>41091</v>
      </c>
      <c r="B12" s="366">
        <v>841.26</v>
      </c>
      <c r="D12" s="367">
        <f>ROUND(1.33*D6,2)</f>
        <v>0</v>
      </c>
    </row>
    <row r="13" spans="1:170" x14ac:dyDescent="0.3">
      <c r="A13" s="155">
        <v>41456</v>
      </c>
      <c r="B13" s="366">
        <v>862.27</v>
      </c>
      <c r="D13" s="308" t="s">
        <v>329</v>
      </c>
      <c r="E13" s="309"/>
      <c r="F13" s="309"/>
      <c r="G13" s="309"/>
      <c r="H13" s="309"/>
      <c r="I13" s="310"/>
    </row>
    <row r="14" spans="1:170" x14ac:dyDescent="0.3">
      <c r="A14" s="155">
        <v>41821</v>
      </c>
      <c r="B14" s="366">
        <v>888.38</v>
      </c>
      <c r="D14" s="335">
        <f>IF(D8=0,0,IF(D8&lt;D10,D10,IF(D8&gt;D12,D12,D8)))</f>
        <v>0</v>
      </c>
    </row>
    <row r="15" spans="1:170" x14ac:dyDescent="0.3">
      <c r="A15" s="155">
        <v>42186</v>
      </c>
      <c r="B15" s="366">
        <v>922.39</v>
      </c>
    </row>
    <row r="16" spans="1:170" x14ac:dyDescent="0.3">
      <c r="A16" s="155">
        <v>42552</v>
      </c>
      <c r="B16" s="366">
        <v>974.2</v>
      </c>
      <c r="D16" s="560" t="s">
        <v>328</v>
      </c>
    </row>
    <row r="17" spans="1:2" x14ac:dyDescent="0.3">
      <c r="A17" s="155">
        <v>42917</v>
      </c>
      <c r="B17" s="366">
        <v>963.01</v>
      </c>
    </row>
    <row r="18" spans="1:2" x14ac:dyDescent="0.3">
      <c r="A18" s="155">
        <v>43282</v>
      </c>
      <c r="B18" s="366">
        <v>1007.05</v>
      </c>
    </row>
    <row r="19" spans="1:2" x14ac:dyDescent="0.3">
      <c r="A19" s="155">
        <v>43647</v>
      </c>
      <c r="B19" s="366">
        <v>1044.4000000000001</v>
      </c>
    </row>
    <row r="20" spans="1:2" x14ac:dyDescent="0.3">
      <c r="A20" s="155">
        <v>44013</v>
      </c>
      <c r="B20" s="366">
        <v>1093.4100000000001</v>
      </c>
    </row>
    <row r="21" spans="1:2" x14ac:dyDescent="0.3">
      <c r="A21" s="155">
        <v>44378</v>
      </c>
      <c r="B21" s="366">
        <v>1247.1300000000001</v>
      </c>
    </row>
    <row r="22" spans="1:2" x14ac:dyDescent="0.3">
      <c r="A22" s="155">
        <v>44743</v>
      </c>
      <c r="B22" s="366">
        <v>1325.24</v>
      </c>
    </row>
    <row r="23" spans="1:2" x14ac:dyDescent="0.3">
      <c r="A23" s="155">
        <v>45108</v>
      </c>
      <c r="B23" s="366">
        <v>1295.8599999999999</v>
      </c>
    </row>
    <row r="24" spans="1:2" x14ac:dyDescent="0.3">
      <c r="A24" s="155">
        <v>45474</v>
      </c>
      <c r="B24" s="1721">
        <v>1331.48</v>
      </c>
    </row>
    <row r="25" spans="1:2" x14ac:dyDescent="0.3">
      <c r="A25" s="155">
        <v>45839</v>
      </c>
      <c r="B25" s="1721">
        <v>1417.06</v>
      </c>
    </row>
    <row r="26" spans="1:2" x14ac:dyDescent="0.3">
      <c r="A26" s="155">
        <v>46204</v>
      </c>
      <c r="B26" s="366"/>
    </row>
    <row r="27" spans="1:2" x14ac:dyDescent="0.3">
      <c r="A27" s="155">
        <v>46569</v>
      </c>
      <c r="B27" s="366"/>
    </row>
    <row r="28" spans="1:2" x14ac:dyDescent="0.3">
      <c r="A28" s="155">
        <v>46935</v>
      </c>
      <c r="B28" s="366"/>
    </row>
    <row r="29" spans="1:2" x14ac:dyDescent="0.3">
      <c r="A29" s="155">
        <v>47300</v>
      </c>
      <c r="B29" s="366"/>
    </row>
    <row r="30" spans="1:2" x14ac:dyDescent="0.3">
      <c r="A30" s="155">
        <v>47665</v>
      </c>
      <c r="B30" s="366"/>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09"/>
  <sheetViews>
    <sheetView showGridLines="0" zoomScale="120" zoomScaleNormal="120" zoomScaleSheetLayoutView="40" workbookViewId="0"/>
  </sheetViews>
  <sheetFormatPr defaultColWidth="2.7265625" defaultRowHeight="13" x14ac:dyDescent="0.3"/>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5" width="8.4531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3">
      <c r="B1" s="739" t="s">
        <v>1732</v>
      </c>
      <c r="C1" s="786"/>
      <c r="D1" s="747" t="str">
        <f>IF('Start here'!A6="","",'Start here'!A6)</f>
        <v/>
      </c>
      <c r="E1" s="751"/>
      <c r="F1" s="751"/>
      <c r="G1" s="751"/>
      <c r="H1" s="751"/>
      <c r="I1" s="751"/>
      <c r="J1" s="751"/>
      <c r="K1" s="752"/>
      <c r="L1" s="2"/>
      <c r="M1" s="747" t="str">
        <f>IF('Start here'!A7="","",'Start here'!A7)</f>
        <v/>
      </c>
      <c r="N1" s="751"/>
      <c r="O1" s="751"/>
      <c r="P1" s="752"/>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3">
      <c r="B2" s="792"/>
      <c r="C2" s="792"/>
      <c r="D2" s="792"/>
      <c r="E2" s="792"/>
      <c r="F2" s="792"/>
      <c r="G2" s="792"/>
      <c r="H2" s="792"/>
      <c r="I2" s="792"/>
      <c r="J2" s="792"/>
      <c r="K2" s="792"/>
      <c r="L2" s="792"/>
      <c r="M2" s="792"/>
      <c r="N2" s="792"/>
      <c r="O2" s="792"/>
      <c r="P2" s="792"/>
      <c r="R2" s="334">
        <f>'Start here'!A8</f>
        <v>0</v>
      </c>
      <c r="S2" s="50" t="str">
        <f>IF(R2&gt;=R1,"Go to PPD Worksheet","")</f>
        <v/>
      </c>
    </row>
    <row r="3" spans="2:170" ht="21" customHeight="1" x14ac:dyDescent="0.4">
      <c r="B3" s="793" t="s">
        <v>2017</v>
      </c>
      <c r="C3" s="794"/>
      <c r="D3" s="794"/>
      <c r="E3" s="794"/>
      <c r="F3" s="794"/>
      <c r="G3" s="794"/>
      <c r="H3" s="794"/>
      <c r="I3" s="794"/>
      <c r="J3" s="794"/>
      <c r="K3" s="794"/>
      <c r="L3" s="794"/>
      <c r="M3" s="794"/>
      <c r="N3" s="794"/>
      <c r="O3" s="794"/>
      <c r="P3" s="1117"/>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3">
      <c r="B4" s="180" t="s">
        <v>406</v>
      </c>
      <c r="C4" s="1077" t="s">
        <v>1573</v>
      </c>
      <c r="D4" s="1077"/>
      <c r="E4" s="1076" t="s">
        <v>147</v>
      </c>
      <c r="F4" s="1077"/>
      <c r="G4" s="1076" t="s">
        <v>1567</v>
      </c>
      <c r="H4" s="1077"/>
      <c r="I4" s="1076" t="s">
        <v>1569</v>
      </c>
      <c r="J4" s="1077"/>
      <c r="K4" s="1076" t="s">
        <v>1571</v>
      </c>
      <c r="L4" s="1077"/>
      <c r="M4" s="1076" t="s">
        <v>405</v>
      </c>
      <c r="N4" s="1076"/>
      <c r="O4" s="368" t="s">
        <v>412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3">
      <c r="B5" s="910" t="s">
        <v>1936</v>
      </c>
      <c r="C5" s="911"/>
      <c r="D5" s="911"/>
      <c r="E5" s="911"/>
      <c r="F5" s="911"/>
      <c r="G5" s="911"/>
      <c r="H5" s="911"/>
      <c r="I5" s="911"/>
      <c r="J5" s="911"/>
      <c r="K5" s="911"/>
      <c r="L5" s="911"/>
      <c r="M5" s="911"/>
      <c r="N5" s="911"/>
      <c r="O5" s="911"/>
      <c r="P5" s="91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3">
      <c r="B6" s="791" t="s">
        <v>943</v>
      </c>
      <c r="C6" s="791"/>
      <c r="D6" s="791"/>
      <c r="E6" s="791"/>
      <c r="F6" s="791"/>
      <c r="G6" s="791"/>
      <c r="H6" s="791"/>
      <c r="I6" s="791"/>
      <c r="J6" s="791"/>
      <c r="K6" s="791"/>
      <c r="L6" s="791"/>
      <c r="M6" s="791"/>
      <c r="N6" s="791"/>
      <c r="O6" s="791"/>
      <c r="P6" s="992">
        <f>SUMIF(U6:Z6,B7,U7:Z7)</f>
        <v>0</v>
      </c>
      <c r="R6" s="10"/>
      <c r="S6" s="10"/>
      <c r="T6" s="77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3">
      <c r="B7" s="1014"/>
      <c r="C7" s="1014"/>
      <c r="D7" s="1014"/>
      <c r="E7" s="1014"/>
      <c r="F7" s="1014"/>
      <c r="G7" s="1014"/>
      <c r="H7" s="1014"/>
      <c r="I7" s="1014"/>
      <c r="J7" s="1014"/>
      <c r="K7" s="1014"/>
      <c r="L7" s="1014"/>
      <c r="M7" s="1014"/>
      <c r="N7" s="1014"/>
      <c r="O7" s="1014"/>
      <c r="P7" s="1082"/>
      <c r="R7" s="10"/>
      <c r="S7" s="10"/>
      <c r="T7" s="77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3">
      <c r="B8" s="981" t="str">
        <f>IF(AND(P6&gt;0.1,B10=""),"Enter specific level of amputation or shortening below.","")</f>
        <v/>
      </c>
      <c r="C8" s="981"/>
      <c r="D8" s="981"/>
      <c r="E8" s="981"/>
      <c r="F8" s="981"/>
      <c r="G8" s="981"/>
      <c r="H8" s="981"/>
      <c r="I8" s="981"/>
      <c r="J8" s="981"/>
      <c r="K8" s="981"/>
      <c r="L8" s="981"/>
      <c r="M8" s="981"/>
      <c r="N8" s="981"/>
      <c r="O8" s="981"/>
      <c r="P8" s="981"/>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3">
      <c r="B9" s="1072" t="s">
        <v>664</v>
      </c>
      <c r="C9" s="1072"/>
      <c r="D9" s="1072"/>
      <c r="E9" s="1072"/>
      <c r="F9" s="1072"/>
      <c r="G9" s="1072"/>
      <c r="H9" s="1072"/>
      <c r="I9" s="1072"/>
      <c r="J9" s="1072"/>
      <c r="K9" s="1072"/>
      <c r="L9" s="1072"/>
      <c r="M9" s="1072"/>
      <c r="N9" s="1072"/>
      <c r="O9" s="1072"/>
      <c r="P9" s="1074"/>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3">
      <c r="B10" s="1014"/>
      <c r="C10" s="1014"/>
      <c r="D10" s="1014"/>
      <c r="E10" s="1014"/>
      <c r="F10" s="1014"/>
      <c r="G10" s="1014"/>
      <c r="H10" s="1014"/>
      <c r="I10" s="1014"/>
      <c r="J10" s="1014"/>
      <c r="K10" s="1014"/>
      <c r="L10" s="1014"/>
      <c r="M10" s="1014"/>
      <c r="N10" s="1014"/>
      <c r="O10" s="1014"/>
      <c r="P10" s="1075"/>
      <c r="R10" s="10"/>
      <c r="S10" s="10"/>
      <c r="T10" s="940" t="s">
        <v>799</v>
      </c>
      <c r="U10" s="941"/>
      <c r="V10" s="941"/>
      <c r="W10" s="941"/>
      <c r="X10" s="941"/>
      <c r="Y10" s="942"/>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3">
      <c r="B11" s="776" t="s">
        <v>966</v>
      </c>
      <c r="C11" s="776"/>
      <c r="D11" s="776"/>
      <c r="E11" s="776"/>
      <c r="F11" s="776"/>
      <c r="G11" s="776"/>
      <c r="H11" s="776"/>
      <c r="I11" s="776"/>
      <c r="J11" s="776"/>
      <c r="K11" s="776"/>
      <c r="L11" s="776"/>
      <c r="M11" s="776"/>
      <c r="N11" s="806" t="s">
        <v>146</v>
      </c>
      <c r="O11" s="806"/>
      <c r="P11" s="248">
        <f>IF(P6=1,0,R84)</f>
        <v>0</v>
      </c>
      <c r="R11" s="10"/>
      <c r="S11" s="10"/>
      <c r="T11" s="386" t="s">
        <v>147</v>
      </c>
      <c r="U11" s="567">
        <f>SUMIF(V11:AD11,B10,V12:AD12)</f>
        <v>0</v>
      </c>
      <c r="V11" s="386" t="s">
        <v>523</v>
      </c>
      <c r="W11" s="386" t="s">
        <v>148</v>
      </c>
      <c r="X11" s="386" t="s">
        <v>1908</v>
      </c>
      <c r="Y11" s="386" t="s">
        <v>1560</v>
      </c>
      <c r="Z11" s="50" t="s">
        <v>1561</v>
      </c>
      <c r="AA11" s="50" t="s">
        <v>1562</v>
      </c>
      <c r="AB11" s="50" t="s">
        <v>1563</v>
      </c>
      <c r="AC11" s="50" t="s">
        <v>1564</v>
      </c>
      <c r="AD11" s="50" t="s">
        <v>1565</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3">
      <c r="B12" s="776"/>
      <c r="C12" s="776"/>
      <c r="D12" s="776"/>
      <c r="E12" s="776"/>
      <c r="F12" s="776"/>
      <c r="G12" s="776"/>
      <c r="H12" s="776"/>
      <c r="I12" s="776"/>
      <c r="J12" s="776"/>
      <c r="K12" s="776"/>
      <c r="L12" s="776"/>
      <c r="M12" s="776"/>
      <c r="N12" s="806" t="s">
        <v>1566</v>
      </c>
      <c r="O12" s="806"/>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3">
      <c r="B13" s="776"/>
      <c r="C13" s="776"/>
      <c r="D13" s="776"/>
      <c r="E13" s="776"/>
      <c r="F13" s="776"/>
      <c r="G13" s="776"/>
      <c r="H13" s="776"/>
      <c r="I13" s="776"/>
      <c r="J13" s="776"/>
      <c r="K13" s="776"/>
      <c r="L13" s="776"/>
      <c r="M13" s="776"/>
      <c r="N13" s="806" t="s">
        <v>1568</v>
      </c>
      <c r="O13" s="806"/>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3">
      <c r="B14" s="776"/>
      <c r="C14" s="776"/>
      <c r="D14" s="776"/>
      <c r="E14" s="776"/>
      <c r="F14" s="776"/>
      <c r="G14" s="776"/>
      <c r="H14" s="776"/>
      <c r="I14" s="776"/>
      <c r="J14" s="776"/>
      <c r="K14" s="776"/>
      <c r="L14" s="776"/>
      <c r="M14" s="776"/>
      <c r="N14" s="806" t="s">
        <v>1570</v>
      </c>
      <c r="O14" s="806"/>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3">
      <c r="B15" s="792"/>
      <c r="C15" s="792"/>
      <c r="D15" s="792"/>
      <c r="E15" s="792"/>
      <c r="F15" s="792"/>
      <c r="G15" s="792"/>
      <c r="H15" s="792"/>
      <c r="I15" s="792"/>
      <c r="J15" s="792"/>
      <c r="K15" s="792"/>
      <c r="L15" s="792"/>
      <c r="M15" s="792"/>
      <c r="N15" s="792"/>
      <c r="O15" s="792"/>
      <c r="P15" s="792"/>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3">
      <c r="B16" s="925" t="s">
        <v>1594</v>
      </c>
      <c r="C16" s="925"/>
      <c r="D16" s="925"/>
      <c r="E16" s="925"/>
      <c r="F16" s="925"/>
      <c r="G16" s="925"/>
      <c r="H16" s="925"/>
      <c r="I16" s="925"/>
      <c r="J16" s="925"/>
      <c r="K16" s="925"/>
      <c r="L16" s="925"/>
      <c r="M16" s="925"/>
      <c r="N16" s="925"/>
      <c r="O16" s="925"/>
      <c r="P16" s="872">
        <f>IF(R27=1,"ERROR",IF(AND(AC20&gt;0,AC20&lt;0.01),0.01,ROUND(AC20,2)))</f>
        <v>0</v>
      </c>
      <c r="R16" s="10"/>
      <c r="S16" s="10"/>
      <c r="T16" s="927" t="s">
        <v>2185</v>
      </c>
      <c r="U16" s="927"/>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3">
      <c r="B17" s="18"/>
      <c r="C17" s="925" t="s">
        <v>1595</v>
      </c>
      <c r="D17" s="925"/>
      <c r="E17" s="925"/>
      <c r="F17" s="925"/>
      <c r="G17" s="927" t="s">
        <v>1081</v>
      </c>
      <c r="H17" s="927"/>
      <c r="I17" s="927"/>
      <c r="J17" s="927"/>
      <c r="K17" s="925"/>
      <c r="L17" s="925"/>
      <c r="M17" s="925"/>
      <c r="N17" s="925"/>
      <c r="O17" s="925"/>
      <c r="P17" s="1010"/>
      <c r="R17" s="10"/>
      <c r="S17" s="50" t="s">
        <v>1572</v>
      </c>
      <c r="T17" s="259" t="s">
        <v>1595</v>
      </c>
      <c r="U17" s="259" t="s">
        <v>1596</v>
      </c>
      <c r="V17" s="806" t="s">
        <v>1083</v>
      </c>
      <c r="W17" s="806"/>
      <c r="X17" s="806"/>
      <c r="Y17" s="806"/>
      <c r="Z17" s="10"/>
      <c r="AA17" s="984" t="s">
        <v>2254</v>
      </c>
      <c r="AB17" s="985"/>
      <c r="AC17" s="985"/>
      <c r="AD17" s="986"/>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3">
      <c r="B18" s="18" t="s">
        <v>1573</v>
      </c>
      <c r="C18" s="925" t="s">
        <v>365</v>
      </c>
      <c r="D18" s="925"/>
      <c r="E18" s="925" t="s">
        <v>1795</v>
      </c>
      <c r="F18" s="925"/>
      <c r="G18" s="925" t="s">
        <v>365</v>
      </c>
      <c r="H18" s="925"/>
      <c r="I18" s="925" t="s">
        <v>1795</v>
      </c>
      <c r="J18" s="925"/>
      <c r="K18" s="925"/>
      <c r="L18" s="925"/>
      <c r="M18" s="925"/>
      <c r="N18" s="925"/>
      <c r="O18" s="925"/>
      <c r="P18" s="1010"/>
      <c r="R18" s="10"/>
      <c r="S18" s="50">
        <v>80</v>
      </c>
      <c r="T18" s="50" t="str">
        <f>IF(OR(C19="",C19="NA"),"",IF(C19&gt;S18,S18,IF(C19&lt;0,0,C19)))</f>
        <v/>
      </c>
      <c r="U18" s="50" t="str">
        <f>IF(OR(G19="",G19="NA"),"",IF(G19&gt;S18,S18,IF(G19&lt;0,0,G19)))</f>
        <v/>
      </c>
      <c r="V18" s="562" t="str">
        <f>IF(Y18="","",ROUND(Y18,0))</f>
        <v/>
      </c>
      <c r="W18" s="925" t="s">
        <v>1202</v>
      </c>
      <c r="X18" s="925"/>
      <c r="Y18" s="563" t="str">
        <f>IF(T18="","",IF(OR(U18="",U18=0,U18&lt;T18),T18,(T18*80)/U18))</f>
        <v/>
      </c>
      <c r="Z18" s="10"/>
      <c r="AA18" s="987"/>
      <c r="AB18" s="712"/>
      <c r="AC18" s="712"/>
      <c r="AD18" s="988"/>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3">
      <c r="B19" s="146" t="s">
        <v>1574</v>
      </c>
      <c r="C19" s="708"/>
      <c r="D19" s="708"/>
      <c r="E19" s="948">
        <f>UETable!AV3</f>
        <v>0</v>
      </c>
      <c r="F19" s="948"/>
      <c r="G19" s="708"/>
      <c r="H19" s="708"/>
      <c r="I19" s="929">
        <f>IF(C19="",0,IF(OR(C19&lt;=0,G19&lt;=0),E19,IF(G19&lt;C19,0,UETable!BA3)))</f>
        <v>0</v>
      </c>
      <c r="J19" s="929"/>
      <c r="K19" s="946" t="str">
        <f>IF(OR(C19="NA",G19="NA"),"",IF(AND(C19&lt;&gt;"",G19=""),"Enter contralateral or NA.",IF(AND(C19="",G19&lt;&gt;""),"Need data","")))</f>
        <v/>
      </c>
      <c r="L19" s="946"/>
      <c r="M19" s="946"/>
      <c r="N19" s="946"/>
      <c r="O19" s="946"/>
      <c r="P19" s="1010"/>
      <c r="R19" s="10"/>
      <c r="S19" s="50">
        <v>80</v>
      </c>
      <c r="T19" s="50" t="str">
        <f>IF(OR(C20="",C20="NA"),"",IF(C20&gt;S18,S18,IF(C20&lt;0,0,C20)))</f>
        <v/>
      </c>
      <c r="U19" s="50" t="str">
        <f>IF(OR(G20="",G20="NA"),"",IF(G20&gt;S18,S18,IF(G20&lt;0,0,G20)))</f>
        <v/>
      </c>
      <c r="V19" s="562" t="str">
        <f>IF(Y19="","",ROUND(Y19,0))</f>
        <v/>
      </c>
      <c r="W19" s="50">
        <f>IF(T19="",0,80-T19)</f>
        <v>0</v>
      </c>
      <c r="X19" s="50">
        <f>IF(U19="",0,80-U19)</f>
        <v>0</v>
      </c>
      <c r="Y19" s="563" t="str">
        <f>IF(T19="","",IF(OR(U19="",U19=0,U19&gt;T19),T19,80-(W19*80)/X19))</f>
        <v/>
      </c>
      <c r="Z19" s="10"/>
      <c r="AA19" s="989"/>
      <c r="AB19" s="990"/>
      <c r="AC19" s="990"/>
      <c r="AD19" s="991"/>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3">
      <c r="B20" s="146" t="s">
        <v>1575</v>
      </c>
      <c r="C20" s="708"/>
      <c r="D20" s="708"/>
      <c r="E20" s="948">
        <f>UETable!AV4</f>
        <v>0</v>
      </c>
      <c r="F20" s="948"/>
      <c r="G20" s="708"/>
      <c r="H20" s="708"/>
      <c r="I20" s="929">
        <f>IF(C20="",0,IF(OR(C20&gt;=80,G20&gt;=80),E20,IF(G20&gt;C20,0,UETable!BA4)))</f>
        <v>0</v>
      </c>
      <c r="J20" s="929"/>
      <c r="K20" s="946" t="str">
        <f>IF(OR(C20="NA",G20="NA"),"",IF(AND(C20&lt;&gt;"",G20=""),"Enter contralateral or NA.",IF(AND(C20="",G20&lt;&gt;""),"Need data","")))</f>
        <v/>
      </c>
      <c r="L20" s="946"/>
      <c r="M20" s="946"/>
      <c r="N20" s="946"/>
      <c r="O20" s="946"/>
      <c r="P20" s="1010"/>
      <c r="R20" s="10"/>
      <c r="S20" s="50">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3">
      <c r="B21" s="146" t="s">
        <v>1576</v>
      </c>
      <c r="C21" s="708"/>
      <c r="D21" s="708"/>
      <c r="E21" s="948">
        <f>IF(AND(C21&lt;&gt;"",C21&lt;&gt;"NA",C20&lt;&gt;"NA",C20&lt;&gt;""),"ERROR",IF(AND(C21&lt;&gt;"",C21&lt;&gt;"NA",C19&lt;&gt;"",C19&lt;&gt;"NA"),"ERROR",UETable!AV5))</f>
        <v>0</v>
      </c>
      <c r="F21" s="948"/>
      <c r="G21" s="946" t="str">
        <f>IF(AND(C21&lt;&gt;"",C21&lt;&gt;"NA",C20&lt;&gt;"NA",C20&lt;&gt;""),"ERROR: Cannot rate ROM and ankylosis.",IF(AND(C21&lt;&gt;"",C21&lt;&gt;"NA",C19&lt;&gt;"",C19&lt;&gt;"NA"),"ERROR: Cannot rate ROM and ankylosis.",""))</f>
        <v/>
      </c>
      <c r="H21" s="946"/>
      <c r="I21" s="946"/>
      <c r="J21" s="946"/>
      <c r="K21" s="946"/>
      <c r="L21" s="946"/>
      <c r="M21" s="946"/>
      <c r="N21" s="946"/>
      <c r="O21" s="946"/>
      <c r="P21" s="10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3">
      <c r="B22" s="993"/>
      <c r="C22" s="994"/>
      <c r="D22" s="994"/>
      <c r="E22" s="994"/>
      <c r="F22" s="994"/>
      <c r="G22" s="994"/>
      <c r="H22" s="994"/>
      <c r="I22" s="994"/>
      <c r="J22" s="995"/>
      <c r="K22" s="958" t="s">
        <v>1841</v>
      </c>
      <c r="L22" s="958"/>
      <c r="M22" s="958"/>
      <c r="N22" s="958"/>
      <c r="O22" s="65">
        <f>IF(E21="ERROR","ERROR",IF(R22&gt;1,1,R22))</f>
        <v>0</v>
      </c>
      <c r="P22" s="1010"/>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3">
      <c r="B23" s="146" t="s">
        <v>1577</v>
      </c>
      <c r="C23" s="708"/>
      <c r="D23" s="708"/>
      <c r="E23" s="948">
        <f>UETable!AV7</f>
        <v>0</v>
      </c>
      <c r="F23" s="948"/>
      <c r="G23" s="708"/>
      <c r="H23" s="708"/>
      <c r="I23" s="929">
        <f>IF(C23="",0,IF(OR(C23&lt;=0,G23&lt;=0),E23,IF(G23&lt;C23,0,UETable!BA7)))</f>
        <v>0</v>
      </c>
      <c r="J23" s="929"/>
      <c r="K23" s="946" t="str">
        <f>IF(OR(C23="NA",G23="NA"),"",IF(AND(C23&lt;&gt;"",G23=""),"Enter contralateral or NA.",IF(AND(C23="",G23&lt;&gt;""),"Need data","")))</f>
        <v/>
      </c>
      <c r="L23" s="946"/>
      <c r="M23" s="946"/>
      <c r="N23" s="946"/>
      <c r="O23" s="946"/>
      <c r="P23" s="1010"/>
      <c r="R23" s="10"/>
      <c r="S23" s="50">
        <v>60</v>
      </c>
      <c r="T23" s="50" t="str">
        <f>IF(OR(C23="",C23="NA"),"",IF(C23&gt;S23,S23,IF(C23&lt;0,0,C23)))</f>
        <v/>
      </c>
      <c r="U23" s="50" t="str">
        <f>IF(OR(G23="",G23="NA"),"",IF(G23&gt;S23,S23,IF(G23&lt;0,0,G23)))</f>
        <v/>
      </c>
      <c r="V23" s="562" t="str">
        <f>IF(Y23="","",ROUND(Y23,0))</f>
        <v/>
      </c>
      <c r="W23" s="925" t="s">
        <v>1202</v>
      </c>
      <c r="X23" s="925"/>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3">
      <c r="B24" s="146" t="s">
        <v>1578</v>
      </c>
      <c r="C24" s="708"/>
      <c r="D24" s="708"/>
      <c r="E24" s="948">
        <f>UETable!AV8</f>
        <v>0</v>
      </c>
      <c r="F24" s="948"/>
      <c r="G24" s="708"/>
      <c r="H24" s="708"/>
      <c r="I24" s="929">
        <f>IF(C24="",0,IF(OR(C24&gt;=60,G24&gt;=60),E24,IF(G24&gt;C24,0,UETable!BA8)))</f>
        <v>0</v>
      </c>
      <c r="J24" s="929"/>
      <c r="K24" s="946" t="str">
        <f>IF(OR(C24="NA",G24="NA"),"",IF(AND(C24&lt;&gt;"",G24=""),"Enter contralateral or NA.",IF(AND(C24="",G24&lt;&gt;""),"Need data","")))</f>
        <v/>
      </c>
      <c r="L24" s="946"/>
      <c r="M24" s="946"/>
      <c r="N24" s="946"/>
      <c r="O24" s="946"/>
      <c r="P24" s="1010"/>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3">
      <c r="B25" s="146" t="s">
        <v>643</v>
      </c>
      <c r="C25" s="708"/>
      <c r="D25" s="708"/>
      <c r="E25" s="948">
        <f>IF(AND(C25&lt;&gt;"",C25&lt;&gt;"NA",C24&lt;&gt;"NA",C24&lt;&gt;""),"ERROR",IF(AND(C25&lt;&gt;"",C25&lt;&gt;"NA",C23&lt;&gt;"",C23&lt;&gt;"NA"),"ERROR",UETable!AV9))</f>
        <v>0</v>
      </c>
      <c r="F25" s="948"/>
      <c r="G25" s="946" t="str">
        <f>IF(AND(C25&lt;&gt;"",C25&lt;&gt;"NA",C24&lt;&gt;"NA",C24&lt;&gt;""),"ERROR: Cannot rate ROM and ankylosis.",IF(AND(C25&lt;&gt;"",C25&lt;&gt;"NA",C23&lt;&gt;"",C23&lt;&gt;"NA"),"ERROR: Cannot rate ROM and ankylosis.",""))</f>
        <v/>
      </c>
      <c r="H25" s="946"/>
      <c r="I25" s="946"/>
      <c r="J25" s="946"/>
      <c r="K25" s="946"/>
      <c r="L25" s="946"/>
      <c r="M25" s="946"/>
      <c r="N25" s="946"/>
      <c r="O25" s="946"/>
      <c r="P25" s="1010"/>
      <c r="R25" s="10"/>
      <c r="S25" s="50">
        <v>60</v>
      </c>
      <c r="T25" s="50" t="str">
        <f>IF(OR(C25="",C25="NA"),"",IF(C25&gt;S25,S25,IF(C25&lt;0,0,C25)))</f>
        <v/>
      </c>
      <c r="U25" s="10"/>
      <c r="V25" s="10"/>
      <c r="W25" s="10"/>
      <c r="X25" s="10"/>
      <c r="Y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3">
      <c r="B26" s="636"/>
      <c r="C26" s="637"/>
      <c r="D26" s="637"/>
      <c r="E26" s="1084" t="str">
        <f>IF(AND(OR(E21&gt;0,E25&gt;0),C27&gt;0),"Note: Ankylosis impairment is not apportioned.","")</f>
        <v/>
      </c>
      <c r="F26" s="1085"/>
      <c r="G26" s="1085"/>
      <c r="H26" s="1085"/>
      <c r="I26" s="1085"/>
      <c r="J26" s="1086"/>
      <c r="K26" s="958" t="s">
        <v>1841</v>
      </c>
      <c r="L26" s="958"/>
      <c r="M26" s="958"/>
      <c r="N26" s="958"/>
      <c r="O26" s="65">
        <f>IF(E25="ERROR","ERROR",IF(R26&gt;1,1,R26))</f>
        <v>0</v>
      </c>
      <c r="P26" s="1010"/>
      <c r="R26" s="194">
        <f>SUM(I23,I24,E25)</f>
        <v>0</v>
      </c>
      <c r="S26" s="10"/>
      <c r="T26" s="10"/>
      <c r="U26" s="10"/>
      <c r="V26" s="10"/>
      <c r="W26" s="10"/>
      <c r="X26" s="10"/>
      <c r="Y26" s="10"/>
      <c r="AA26" s="557">
        <f>IF(AND(AB20&gt;0,AB20&lt;0.01),0.01,ROUND(AB20,2))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3">
      <c r="B27" s="13" t="s">
        <v>2255</v>
      </c>
      <c r="C27" s="935"/>
      <c r="D27" s="960"/>
      <c r="E27" s="1087"/>
      <c r="F27" s="1088"/>
      <c r="G27" s="1088"/>
      <c r="H27" s="1088"/>
      <c r="I27" s="1088"/>
      <c r="J27" s="1089"/>
      <c r="K27" s="958" t="s">
        <v>276</v>
      </c>
      <c r="L27" s="958"/>
      <c r="M27" s="958"/>
      <c r="N27" s="958"/>
      <c r="O27" s="958"/>
      <c r="P27" s="99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3">
      <c r="B28" s="792" t="str">
        <f>IF(AND(OR(E21&gt;0,E25&gt;0),C27&gt;0),"Note: Ankylosis is not apportioned.","")</f>
        <v/>
      </c>
      <c r="C28" s="792"/>
      <c r="D28" s="792"/>
      <c r="E28" s="792"/>
      <c r="F28" s="792"/>
      <c r="G28" s="792"/>
      <c r="H28" s="792"/>
      <c r="I28" s="792"/>
      <c r="J28" s="792"/>
      <c r="K28" s="792"/>
      <c r="L28" s="792"/>
      <c r="M28" s="792"/>
      <c r="N28" s="792"/>
      <c r="O28" s="792"/>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3">
      <c r="B29" s="485"/>
      <c r="C29" s="1012" t="s">
        <v>248</v>
      </c>
      <c r="D29" s="1078"/>
      <c r="E29" s="982" t="s">
        <v>249</v>
      </c>
      <c r="F29" s="1080"/>
      <c r="G29" s="355"/>
      <c r="H29" s="357"/>
      <c r="I29" s="1011" t="s">
        <v>250</v>
      </c>
      <c r="J29" s="1068"/>
      <c r="K29" s="477"/>
      <c r="L29" s="357"/>
      <c r="M29" s="982" t="s">
        <v>249</v>
      </c>
      <c r="N29" s="1080"/>
      <c r="O29" s="356"/>
      <c r="P29" s="357"/>
      <c r="AE29" s="481"/>
      <c r="AF29" s="481"/>
      <c r="AG29" s="481"/>
      <c r="AH29" s="481"/>
      <c r="AI29" s="481"/>
      <c r="AJ29" s="481"/>
      <c r="AK29" s="481"/>
      <c r="AL29" s="481"/>
      <c r="AM29" s="481"/>
      <c r="AN29" s="481"/>
    </row>
    <row r="30" spans="2:109" ht="12" customHeight="1" x14ac:dyDescent="0.3">
      <c r="B30" s="486"/>
      <c r="C30" s="970" t="s">
        <v>251</v>
      </c>
      <c r="D30" s="1069"/>
      <c r="E30" s="970" t="s">
        <v>252</v>
      </c>
      <c r="F30" s="1069"/>
      <c r="G30" s="970" t="s">
        <v>253</v>
      </c>
      <c r="H30" s="1069"/>
      <c r="I30" s="962" t="s">
        <v>254</v>
      </c>
      <c r="J30" s="1070"/>
      <c r="K30" s="970" t="s">
        <v>255</v>
      </c>
      <c r="L30" s="1069"/>
      <c r="M30" s="970" t="s">
        <v>256</v>
      </c>
      <c r="N30" s="1069"/>
      <c r="P30" s="321"/>
      <c r="AE30" s="481"/>
      <c r="AF30" s="481"/>
      <c r="AG30" s="481"/>
      <c r="AH30" s="565"/>
      <c r="AI30" s="565"/>
      <c r="AJ30" s="565"/>
      <c r="AK30" s="565"/>
      <c r="AL30" s="481"/>
      <c r="AM30" s="481"/>
      <c r="AN30" s="481"/>
    </row>
    <row r="31" spans="2:109" ht="12" customHeight="1" x14ac:dyDescent="0.3">
      <c r="B31" s="486"/>
      <c r="C31" s="943" t="s">
        <v>257</v>
      </c>
      <c r="D31" s="1067"/>
      <c r="E31" s="943" t="s">
        <v>258</v>
      </c>
      <c r="F31" s="1067"/>
      <c r="G31" s="943" t="s">
        <v>259</v>
      </c>
      <c r="H31" s="1067"/>
      <c r="I31" s="1013" t="s">
        <v>260</v>
      </c>
      <c r="J31" s="1071"/>
      <c r="K31" s="943" t="s">
        <v>259</v>
      </c>
      <c r="L31" s="1067"/>
      <c r="M31" s="943" t="s">
        <v>258</v>
      </c>
      <c r="N31" s="1067"/>
      <c r="P31" s="321"/>
      <c r="S31" s="58"/>
      <c r="T31" s="58"/>
      <c r="U31" s="58"/>
      <c r="V31" s="58"/>
      <c r="AH31" s="50">
        <v>1</v>
      </c>
      <c r="AI31" s="50">
        <v>2</v>
      </c>
      <c r="AJ31" s="50">
        <v>3</v>
      </c>
      <c r="AK31" s="50">
        <v>4</v>
      </c>
      <c r="AM31" s="481"/>
      <c r="AN31" s="481"/>
      <c r="AO31" s="481"/>
      <c r="AP31" s="481"/>
      <c r="AQ31" s="481"/>
      <c r="AR31" s="481"/>
      <c r="AS31" s="481"/>
      <c r="AT31" s="481"/>
      <c r="AU31" s="481"/>
      <c r="AV31" s="481"/>
    </row>
    <row r="32" spans="2:109" ht="12" customHeight="1" x14ac:dyDescent="0.3">
      <c r="B32" s="548" t="s">
        <v>1985</v>
      </c>
      <c r="C32" s="943" t="s">
        <v>261</v>
      </c>
      <c r="D32" s="1067"/>
      <c r="E32" s="943" t="s">
        <v>261</v>
      </c>
      <c r="F32" s="1067"/>
      <c r="G32" s="943" t="s">
        <v>261</v>
      </c>
      <c r="H32" s="1067"/>
      <c r="I32" s="943" t="s">
        <v>261</v>
      </c>
      <c r="J32" s="1067"/>
      <c r="K32" s="943" t="s">
        <v>261</v>
      </c>
      <c r="L32" s="1067"/>
      <c r="M32" s="943" t="s">
        <v>261</v>
      </c>
      <c r="N32" s="1067"/>
      <c r="P32" s="321"/>
      <c r="S32" s="910" t="s">
        <v>2196</v>
      </c>
      <c r="T32" s="911"/>
      <c r="U32" s="911"/>
      <c r="V32" s="912"/>
      <c r="W32" s="480"/>
      <c r="X32" s="910" t="s">
        <v>2196</v>
      </c>
      <c r="Y32" s="911"/>
      <c r="Z32" s="911"/>
      <c r="AA32" s="912"/>
      <c r="AB32" s="480"/>
      <c r="AC32" s="952" t="s">
        <v>2196</v>
      </c>
      <c r="AD32" s="953"/>
      <c r="AE32" s="953"/>
      <c r="AF32" s="954"/>
      <c r="AG32" s="480"/>
      <c r="AH32" s="910" t="s">
        <v>2196</v>
      </c>
      <c r="AI32" s="911"/>
      <c r="AJ32" s="912"/>
      <c r="AL32" s="907" t="s">
        <v>2196</v>
      </c>
      <c r="AM32" s="908"/>
      <c r="AN32" s="908"/>
      <c r="AO32" s="909"/>
      <c r="AQ32" s="907" t="s">
        <v>2196</v>
      </c>
      <c r="AR32" s="908"/>
      <c r="AS32" s="908"/>
      <c r="AT32" s="909"/>
    </row>
    <row r="33" spans="1:109" ht="15" customHeight="1" x14ac:dyDescent="0.3">
      <c r="B33" s="146" t="s">
        <v>1599</v>
      </c>
      <c r="C33" s="945"/>
      <c r="D33" s="945"/>
      <c r="E33" s="945"/>
      <c r="F33" s="945"/>
      <c r="G33" s="925" t="s">
        <v>1941</v>
      </c>
      <c r="H33" s="925"/>
      <c r="I33" s="945"/>
      <c r="J33" s="945"/>
      <c r="K33" s="925" t="s">
        <v>1941</v>
      </c>
      <c r="L33" s="925"/>
      <c r="M33" s="945"/>
      <c r="N33" s="945"/>
      <c r="P33" s="321"/>
      <c r="S33" s="564">
        <f>IF(C33="",0,C33)</f>
        <v>0</v>
      </c>
      <c r="T33" s="564">
        <f>IF(E33&lt;&gt;"",E33,IF(S33&gt;0,S33,0))</f>
        <v>0</v>
      </c>
      <c r="U33" s="564">
        <f>IF(I33&lt;&gt;"",I33,IF(T33&gt;0,T33,0))</f>
        <v>0</v>
      </c>
      <c r="V33" s="564">
        <f>IF(M33&lt;&gt;"",M33,IF(U33&gt;0,U33,0))</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566">
        <f>IF(S33=1,0,IF(S33=2,0.12,IF(S33=3,0.17,IF(S33=4,0.23,0))))</f>
        <v>0</v>
      </c>
      <c r="AM33" s="566">
        <f>IF(T33=1,0,IF(T33=2,0.08,IF(T33=3,0.12,IF(T33=4,0.15,0))))</f>
        <v>0</v>
      </c>
      <c r="AO33" s="566">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78" t="s">
        <v>2196</v>
      </c>
      <c r="AY33" s="878"/>
      <c r="AZ33" s="878"/>
      <c r="BA33" s="878"/>
      <c r="BB33" s="878"/>
      <c r="BC33" s="878"/>
    </row>
    <row r="34" spans="1:109" ht="15" customHeight="1" x14ac:dyDescent="0.3">
      <c r="B34" s="304" t="s">
        <v>1600</v>
      </c>
      <c r="C34" s="945"/>
      <c r="D34" s="945"/>
      <c r="E34" s="945"/>
      <c r="F34" s="945"/>
      <c r="G34" s="925" t="s">
        <v>1941</v>
      </c>
      <c r="H34" s="925"/>
      <c r="I34" s="945"/>
      <c r="J34" s="945"/>
      <c r="K34" s="925" t="s">
        <v>1941</v>
      </c>
      <c r="L34" s="925"/>
      <c r="M34" s="945"/>
      <c r="N34" s="945"/>
      <c r="P34" s="321"/>
      <c r="S34" s="304">
        <f>IF(C34="",0,C34)</f>
        <v>0</v>
      </c>
      <c r="T34" s="304">
        <f>IF(E34&lt;&gt;"",E34,IF(S34&gt;0,S34,0))</f>
        <v>0</v>
      </c>
      <c r="U34" s="304">
        <f>IF(I34&lt;&gt;"",I34,IF(T34&gt;0,T34,0))</f>
        <v>0</v>
      </c>
      <c r="V34" s="304">
        <f>IF(M34&lt;&gt;"",M34,IF(U34&gt;0,U34,0))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3">
      <c r="B35" s="487" t="s">
        <v>1601</v>
      </c>
      <c r="C35" s="945"/>
      <c r="D35" s="945"/>
      <c r="E35" s="945"/>
      <c r="F35" s="945"/>
      <c r="G35" s="845" t="s">
        <v>1941</v>
      </c>
      <c r="H35" s="845"/>
      <c r="I35" s="945"/>
      <c r="J35" s="945"/>
      <c r="K35" s="845" t="s">
        <v>1941</v>
      </c>
      <c r="L35" s="845"/>
      <c r="M35" s="945"/>
      <c r="N35" s="945"/>
      <c r="P35" s="321"/>
      <c r="S35" s="304">
        <f>IF(C35="",0,C35)</f>
        <v>0</v>
      </c>
      <c r="T35" s="304">
        <f>IF(E35&lt;&gt;"",E35,IF(S35&gt;0,S35,0))</f>
        <v>0</v>
      </c>
      <c r="U35" s="304">
        <f>IF(I35&lt;&gt;"",I35,IF(T35&gt;0,T35,0))</f>
        <v>0</v>
      </c>
      <c r="V35" s="304">
        <f>IF(M35&lt;&gt;"",M35,IF(U35&gt;0,U35,0))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3">
      <c r="B36" s="978" t="str">
        <f>IF(AA36=1,"ERROR: If radial or ulnar impairment is recorded, do not enter losses for 'both sides.'","")</f>
        <v/>
      </c>
      <c r="C36" s="979"/>
      <c r="D36" s="979"/>
      <c r="E36" s="979"/>
      <c r="F36" s="979"/>
      <c r="G36" s="979"/>
      <c r="H36" s="979"/>
      <c r="I36" s="979"/>
      <c r="J36" s="979"/>
      <c r="K36" s="979"/>
      <c r="L36" s="979"/>
      <c r="M36" s="979"/>
      <c r="N36" s="979"/>
      <c r="O36" s="980"/>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3">
      <c r="B37" s="355" t="s">
        <v>1226</v>
      </c>
      <c r="C37" s="356"/>
      <c r="D37" s="356"/>
      <c r="E37" s="356"/>
      <c r="F37" s="356"/>
      <c r="G37" s="356"/>
      <c r="H37" s="356"/>
      <c r="I37" s="356"/>
      <c r="J37" s="356"/>
      <c r="K37" s="356"/>
      <c r="L37" s="356"/>
      <c r="M37" s="356"/>
      <c r="N37" s="356"/>
      <c r="O37" s="356"/>
      <c r="P37" s="357"/>
    </row>
    <row r="38" spans="1:109" ht="15" customHeight="1" x14ac:dyDescent="0.3">
      <c r="B38" s="146" t="s">
        <v>1599</v>
      </c>
      <c r="C38" s="945"/>
      <c r="D38" s="945"/>
      <c r="E38" s="945"/>
      <c r="F38" s="945"/>
      <c r="G38" s="925" t="s">
        <v>1941</v>
      </c>
      <c r="H38" s="925"/>
      <c r="I38" s="945"/>
      <c r="J38" s="945"/>
      <c r="K38" s="925" t="s">
        <v>1941</v>
      </c>
      <c r="L38" s="925"/>
      <c r="M38" s="945"/>
      <c r="N38" s="945"/>
      <c r="P38" s="321"/>
      <c r="S38" s="304">
        <f>IF(C38="",0,C38)</f>
        <v>0</v>
      </c>
      <c r="T38" s="304">
        <f>IF(E38&lt;&gt;"",E38,IF(S38&gt;0,S38,0))</f>
        <v>0</v>
      </c>
      <c r="U38" s="304">
        <f>IF(I38&lt;&gt;"",I38,IF(T38&gt;0,T38,0))</f>
        <v>0</v>
      </c>
      <c r="V38" s="304">
        <f>IF(M38&lt;&gt;"",M38,IF(U38&gt;0,U38,0))</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3">
      <c r="B39" s="304" t="s">
        <v>1600</v>
      </c>
      <c r="C39" s="945"/>
      <c r="D39" s="945"/>
      <c r="E39" s="945"/>
      <c r="F39" s="945"/>
      <c r="G39" s="925" t="s">
        <v>1941</v>
      </c>
      <c r="H39" s="925"/>
      <c r="I39" s="945"/>
      <c r="J39" s="945"/>
      <c r="K39" s="925" t="s">
        <v>1941</v>
      </c>
      <c r="L39" s="925"/>
      <c r="M39" s="945"/>
      <c r="N39" s="945"/>
      <c r="P39" s="321"/>
      <c r="S39" s="304">
        <f>IF(C39="",0,C39)</f>
        <v>0</v>
      </c>
      <c r="T39" s="304">
        <f>IF(E39&lt;&gt;"",E39,IF(S39&gt;0,S39,0))</f>
        <v>0</v>
      </c>
      <c r="U39" s="304">
        <f>IF(I39&lt;&gt;"",I39,IF(T39&gt;0,T39,0))</f>
        <v>0</v>
      </c>
      <c r="V39" s="304">
        <f>IF(M39&lt;&gt;"",M39,IF(U39&gt;0,U39,0))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3">
      <c r="B40" s="487" t="s">
        <v>1601</v>
      </c>
      <c r="C40" s="945"/>
      <c r="D40" s="945"/>
      <c r="E40" s="945"/>
      <c r="F40" s="945"/>
      <c r="G40" s="845" t="s">
        <v>1941</v>
      </c>
      <c r="H40" s="845"/>
      <c r="I40" s="945"/>
      <c r="J40" s="945"/>
      <c r="K40" s="845" t="s">
        <v>1941</v>
      </c>
      <c r="L40" s="845"/>
      <c r="M40" s="945"/>
      <c r="N40" s="945"/>
      <c r="P40" s="321"/>
      <c r="S40" s="304">
        <f>IF(C40="",0,C40)</f>
        <v>0</v>
      </c>
      <c r="T40" s="304">
        <f>IF(E40&lt;&gt;"",E40,IF(S40&gt;0,S40,0))</f>
        <v>0</v>
      </c>
      <c r="U40" s="304">
        <f>IF(I40&lt;&gt;"",I40,IF(T40&gt;0,T40,0))</f>
        <v>0</v>
      </c>
      <c r="V40" s="304">
        <f>IF(M40&lt;&gt;"",M40,IF(U40&gt;0,U40,0))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3">
      <c r="B41" s="978" t="str">
        <f>IF(AA41=1,"ERROR: If radial or ulnar impairment is recorded, do not enter losses for 'both sides.'","")</f>
        <v/>
      </c>
      <c r="C41" s="979"/>
      <c r="D41" s="979"/>
      <c r="E41" s="979"/>
      <c r="F41" s="979"/>
      <c r="G41" s="979"/>
      <c r="H41" s="979"/>
      <c r="I41" s="979"/>
      <c r="J41" s="979"/>
      <c r="K41" s="979"/>
      <c r="L41" s="979"/>
      <c r="M41" s="979"/>
      <c r="N41" s="979"/>
      <c r="O41" s="980"/>
      <c r="P41" s="248">
        <f>IF(B41&lt;&gt;"","ERROR",BB40)</f>
        <v>0</v>
      </c>
      <c r="S41" s="480"/>
      <c r="T41" s="480"/>
      <c r="U41" s="480"/>
      <c r="X41" s="304">
        <f>SUM(X38:AA38)</f>
        <v>0</v>
      </c>
      <c r="Y41" s="304">
        <f>SUM(X39:AA39)</f>
        <v>0</v>
      </c>
      <c r="Z41" s="304">
        <f>SUM(X40:AA40)</f>
        <v>0</v>
      </c>
      <c r="AA41" s="304">
        <f>IF(AND(X41&gt;0,Y41&gt;0),1,IF(AND(X41&gt;0,Z41&gt;0),1,0))</f>
        <v>0</v>
      </c>
    </row>
    <row r="42" spans="1:109" ht="10.5" customHeight="1" x14ac:dyDescent="0.3">
      <c r="B42" s="1053"/>
      <c r="C42" s="1053"/>
      <c r="D42" s="1053"/>
      <c r="E42" s="1053"/>
      <c r="F42" s="1053"/>
      <c r="G42" s="1053"/>
      <c r="H42" s="1053"/>
      <c r="I42" s="1053"/>
      <c r="J42" s="1053"/>
      <c r="K42" s="1053"/>
      <c r="L42" s="1053"/>
      <c r="M42" s="1053"/>
      <c r="N42" s="1053"/>
      <c r="O42" s="1053"/>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3">
      <c r="B43" s="41"/>
      <c r="C43" s="41"/>
      <c r="D43" s="41"/>
      <c r="E43" s="41"/>
      <c r="F43" s="41"/>
      <c r="G43" s="41"/>
      <c r="H43" s="41"/>
      <c r="I43" s="41"/>
      <c r="J43" s="41"/>
      <c r="K43" s="41"/>
      <c r="L43" s="41"/>
      <c r="M43" s="41"/>
      <c r="N43" s="41"/>
      <c r="O43" s="41"/>
      <c r="P43" s="73"/>
      <c r="R43" s="10"/>
      <c r="S43" s="878" t="s">
        <v>2196</v>
      </c>
      <c r="T43" s="878"/>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3">
      <c r="A44" s="15"/>
      <c r="B44" s="964" t="s">
        <v>1227</v>
      </c>
      <c r="C44" s="965"/>
      <c r="D44" s="934"/>
      <c r="E44" s="934"/>
      <c r="F44" s="971" t="s">
        <v>1228</v>
      </c>
      <c r="G44" s="971"/>
      <c r="H44" s="971"/>
      <c r="I44" s="971"/>
      <c r="J44" s="971"/>
      <c r="K44" s="971"/>
      <c r="L44" s="971"/>
      <c r="M44" s="971"/>
      <c r="N44" s="971"/>
      <c r="O44" s="971"/>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3">
      <c r="B45" s="966"/>
      <c r="C45" s="967"/>
      <c r="D45" s="934"/>
      <c r="E45" s="934"/>
      <c r="F45" s="971" t="s">
        <v>1230</v>
      </c>
      <c r="G45" s="971"/>
      <c r="H45" s="971"/>
      <c r="I45" s="971"/>
      <c r="J45" s="971"/>
      <c r="K45" s="971"/>
      <c r="L45" s="971"/>
      <c r="M45" s="971"/>
      <c r="N45" s="971"/>
      <c r="O45" s="971"/>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3">
      <c r="B46" s="966"/>
      <c r="C46" s="967"/>
      <c r="D46" s="934"/>
      <c r="E46" s="934"/>
      <c r="F46" s="971" t="s">
        <v>1229</v>
      </c>
      <c r="G46" s="971"/>
      <c r="H46" s="971"/>
      <c r="I46" s="971"/>
      <c r="J46" s="971"/>
      <c r="K46" s="971"/>
      <c r="L46" s="971"/>
      <c r="M46" s="971"/>
      <c r="N46" s="971"/>
      <c r="O46" s="971"/>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3">
      <c r="B47" s="968"/>
      <c r="C47" s="969"/>
      <c r="D47" s="934"/>
      <c r="E47" s="934"/>
      <c r="F47" s="971" t="s">
        <v>1231</v>
      </c>
      <c r="G47" s="971"/>
      <c r="H47" s="971"/>
      <c r="I47" s="971"/>
      <c r="J47" s="971"/>
      <c r="K47" s="971"/>
      <c r="L47" s="971"/>
      <c r="M47" s="971"/>
      <c r="N47" s="971"/>
      <c r="O47" s="971"/>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3">
      <c r="B48" s="792"/>
      <c r="C48" s="792"/>
      <c r="D48" s="792"/>
      <c r="E48" s="792"/>
      <c r="F48" s="792"/>
      <c r="G48" s="792"/>
      <c r="H48" s="792"/>
      <c r="I48" s="792"/>
      <c r="J48" s="792"/>
      <c r="K48" s="792"/>
      <c r="L48" s="792"/>
      <c r="M48" s="792"/>
      <c r="N48" s="792"/>
      <c r="O48" s="792"/>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3">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3">
      <c r="B50" s="50" t="s">
        <v>1232</v>
      </c>
      <c r="C50" s="925" t="s">
        <v>1370</v>
      </c>
      <c r="D50" s="925"/>
      <c r="E50" s="925"/>
      <c r="F50" s="925"/>
      <c r="G50" s="925"/>
      <c r="H50" s="925" t="s">
        <v>1795</v>
      </c>
      <c r="I50" s="925"/>
      <c r="J50" s="925"/>
      <c r="K50" s="18"/>
      <c r="L50" s="925" t="s">
        <v>1233</v>
      </c>
      <c r="M50" s="925"/>
      <c r="N50" s="925"/>
      <c r="O50" s="925"/>
      <c r="P50" s="872">
        <f>U52</f>
        <v>0</v>
      </c>
      <c r="R50" s="10"/>
      <c r="S50" s="568" t="s">
        <v>1596</v>
      </c>
      <c r="T50" s="568" t="s">
        <v>1304</v>
      </c>
      <c r="U50" s="568" t="s">
        <v>2187</v>
      </c>
      <c r="V50" s="10"/>
      <c r="W50" s="878" t="s">
        <v>2196</v>
      </c>
      <c r="X50" s="878"/>
      <c r="Y50" s="878"/>
      <c r="Z50" s="878"/>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3">
      <c r="B51" s="50" t="s">
        <v>1234</v>
      </c>
      <c r="C51" s="933"/>
      <c r="D51" s="933"/>
      <c r="E51" s="933"/>
      <c r="F51" s="933"/>
      <c r="G51" s="933"/>
      <c r="H51" s="936">
        <f>IF(C51=$X$52,0.03,IF(C51=$Y$52,0.06,IF(C51=$Z$52,0.09,0)))</f>
        <v>0</v>
      </c>
      <c r="I51" s="936"/>
      <c r="J51" s="936"/>
      <c r="K51" s="146"/>
      <c r="L51" s="708"/>
      <c r="M51" s="708"/>
      <c r="N51" s="708"/>
      <c r="O51" s="21">
        <f>IF(H51&gt;=S51,H51-S51,0)</f>
        <v>0</v>
      </c>
      <c r="P51" s="1010"/>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3">
      <c r="B52" s="146" t="s">
        <v>1235</v>
      </c>
      <c r="C52" s="933"/>
      <c r="D52" s="933"/>
      <c r="E52" s="933"/>
      <c r="F52" s="933"/>
      <c r="G52" s="933"/>
      <c r="H52" s="936">
        <f>IF(C52=$X$52,0.02,IF(C52=$Y$52,0.04,IF(C52=$Z$52,0.06,0)))</f>
        <v>0</v>
      </c>
      <c r="I52" s="936"/>
      <c r="J52" s="936"/>
      <c r="K52" s="146"/>
      <c r="L52" s="708"/>
      <c r="M52" s="708"/>
      <c r="N52" s="708"/>
      <c r="O52" s="21">
        <f>IF(H52&gt;=S52,H52-S52,0)</f>
        <v>0</v>
      </c>
      <c r="P52" s="996"/>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3">
      <c r="B53" s="792"/>
      <c r="C53" s="792"/>
      <c r="D53" s="792"/>
      <c r="E53" s="792"/>
      <c r="F53" s="792"/>
      <c r="G53" s="792"/>
      <c r="H53" s="792"/>
      <c r="I53" s="792"/>
      <c r="J53" s="792"/>
      <c r="K53" s="792"/>
      <c r="L53" s="792"/>
      <c r="M53" s="792"/>
      <c r="N53" s="792"/>
      <c r="O53" s="792"/>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3">
      <c r="A54" s="15"/>
      <c r="B54" s="764" t="s">
        <v>1239</v>
      </c>
      <c r="C54" s="766"/>
      <c r="D54" s="1083"/>
      <c r="E54" s="1022"/>
      <c r="F54" s="757" t="s">
        <v>787</v>
      </c>
      <c r="G54" s="758"/>
      <c r="H54" s="758"/>
      <c r="I54" s="758"/>
      <c r="J54" s="758"/>
      <c r="K54" s="758"/>
      <c r="L54" s="758"/>
      <c r="M54" s="758"/>
      <c r="N54" s="758"/>
      <c r="O54" s="759"/>
      <c r="P54" s="248">
        <f>IF(T54=1,0.18,0)</f>
        <v>0</v>
      </c>
      <c r="R54" s="955"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3">
      <c r="B55" s="767"/>
      <c r="C55" s="769"/>
      <c r="D55" s="1083"/>
      <c r="E55" s="1022"/>
      <c r="F55" s="757" t="s">
        <v>788</v>
      </c>
      <c r="G55" s="758"/>
      <c r="H55" s="758"/>
      <c r="I55" s="758"/>
      <c r="J55" s="758"/>
      <c r="K55" s="758"/>
      <c r="L55" s="758"/>
      <c r="M55" s="758"/>
      <c r="N55" s="758"/>
      <c r="O55" s="759"/>
      <c r="P55" s="248">
        <f>IF(T55=1,0.22,0)</f>
        <v>0</v>
      </c>
      <c r="R55" s="927"/>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3">
      <c r="B56" s="792"/>
      <c r="C56" s="792"/>
      <c r="D56" s="792"/>
      <c r="E56" s="792"/>
      <c r="F56" s="792"/>
      <c r="G56" s="792"/>
      <c r="H56" s="792"/>
      <c r="I56" s="792"/>
      <c r="J56" s="792"/>
      <c r="K56" s="792"/>
      <c r="L56" s="792"/>
      <c r="M56" s="792"/>
      <c r="N56" s="792"/>
      <c r="O56" s="792"/>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3">
      <c r="B57" s="932" t="s">
        <v>789</v>
      </c>
      <c r="C57" s="932"/>
      <c r="D57" s="932"/>
      <c r="E57" s="932"/>
      <c r="F57" s="932"/>
      <c r="G57" s="932"/>
      <c r="H57" s="932"/>
      <c r="I57" s="932"/>
      <c r="J57" s="932"/>
      <c r="K57" s="932"/>
      <c r="L57" s="932"/>
      <c r="M57" s="932"/>
      <c r="N57" s="932"/>
      <c r="O57" s="317"/>
      <c r="P57" s="21">
        <f>SUMIF(T57:X57,O57,T58:X58)</f>
        <v>0</v>
      </c>
      <c r="R57" s="951" t="s">
        <v>2196</v>
      </c>
      <c r="S57" s="951"/>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3">
      <c r="B58" s="932" t="s">
        <v>1498</v>
      </c>
      <c r="C58" s="932"/>
      <c r="D58" s="932"/>
      <c r="E58" s="932"/>
      <c r="F58" s="932"/>
      <c r="G58" s="932"/>
      <c r="H58" s="932"/>
      <c r="I58" s="932"/>
      <c r="J58" s="932"/>
      <c r="K58" s="932"/>
      <c r="L58" s="932"/>
      <c r="M58" s="932"/>
      <c r="N58" s="932"/>
      <c r="O58" s="317"/>
      <c r="P58" s="21">
        <f>SUMIF(Z57:AD57,O58,Z58:AD58)</f>
        <v>0</v>
      </c>
      <c r="R58" s="951"/>
      <c r="S58" s="951"/>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3">
      <c r="B59" s="792"/>
      <c r="C59" s="792"/>
      <c r="D59" s="792"/>
      <c r="E59" s="792"/>
      <c r="F59" s="792"/>
      <c r="G59" s="792"/>
      <c r="H59" s="792"/>
      <c r="I59" s="792"/>
      <c r="J59" s="792"/>
      <c r="K59" s="792"/>
      <c r="L59" s="792"/>
      <c r="M59" s="792"/>
      <c r="N59" s="792"/>
      <c r="O59" s="792"/>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3">
      <c r="B60" s="879" t="s">
        <v>1937</v>
      </c>
      <c r="C60" s="880"/>
      <c r="D60" s="880"/>
      <c r="E60" s="880"/>
      <c r="F60" s="881"/>
      <c r="G60" s="922" t="s">
        <v>1524</v>
      </c>
      <c r="H60" s="941"/>
      <c r="I60" s="941"/>
      <c r="J60" s="942"/>
      <c r="K60" s="1003"/>
      <c r="L60" s="1004"/>
      <c r="M60" s="1004"/>
      <c r="N60" s="1004"/>
      <c r="O60" s="1005"/>
      <c r="P60" s="872">
        <f>U76</f>
        <v>0</v>
      </c>
      <c r="R60" s="146" t="s">
        <v>1864</v>
      </c>
      <c r="S60" s="50" t="s">
        <v>1304</v>
      </c>
      <c r="T60" s="50" t="s">
        <v>1305</v>
      </c>
      <c r="U60" s="50" t="s">
        <v>1306</v>
      </c>
      <c r="V60" s="940" t="s">
        <v>801</v>
      </c>
      <c r="W60" s="941"/>
      <c r="X60" s="942"/>
      <c r="Y60" s="10"/>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3">
      <c r="B61" s="791" t="s">
        <v>628</v>
      </c>
      <c r="C61" s="791"/>
      <c r="D61" s="791"/>
      <c r="E61" s="996">
        <f>P6</f>
        <v>0</v>
      </c>
      <c r="F61" s="997"/>
      <c r="G61" s="925" t="s">
        <v>1941</v>
      </c>
      <c r="H61" s="925"/>
      <c r="I61" s="949"/>
      <c r="J61" s="949"/>
      <c r="K61" s="1006"/>
      <c r="L61" s="1007"/>
      <c r="M61" s="1007"/>
      <c r="N61" s="1007"/>
      <c r="O61" s="1008"/>
      <c r="P61" s="1010"/>
      <c r="R61" s="557">
        <f>E61</f>
        <v>0</v>
      </c>
      <c r="S61" s="147">
        <f>LARGE($R$61:$R$77,1)</f>
        <v>0</v>
      </c>
      <c r="T61" s="553">
        <f>S61+S62*(1-S61)</f>
        <v>0</v>
      </c>
      <c r="U61" s="557">
        <f t="shared" ref="U61:U76" si="4">ROUND(T61,2)</f>
        <v>0</v>
      </c>
      <c r="V61" s="50">
        <f>IF(E61&gt;0,1,0)</f>
        <v>0</v>
      </c>
      <c r="W61" s="50">
        <f>COUNTIF(V61:V77,1)</f>
        <v>0</v>
      </c>
      <c r="X61" s="50">
        <f>IF(AND(W61=0,W62&gt;0),1,IF(W61&gt;0,2,0))</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3">
      <c r="B62" s="806" t="s">
        <v>802</v>
      </c>
      <c r="C62" s="806"/>
      <c r="D62" s="806"/>
      <c r="E62" s="770">
        <f>P11</f>
        <v>0</v>
      </c>
      <c r="F62" s="746"/>
      <c r="G62" s="925" t="s">
        <v>1941</v>
      </c>
      <c r="H62" s="925"/>
      <c r="I62" s="949"/>
      <c r="J62" s="949"/>
      <c r="K62" s="1006"/>
      <c r="L62" s="1007"/>
      <c r="M62" s="1007"/>
      <c r="N62" s="1007"/>
      <c r="O62" s="1008"/>
      <c r="P62" s="1010"/>
      <c r="R62" s="557">
        <f>E62</f>
        <v>0</v>
      </c>
      <c r="S62" s="147">
        <f>LARGE($R$61:$R$77,2)</f>
        <v>0</v>
      </c>
      <c r="T62" s="553">
        <f>U61+S63*(1-U61)</f>
        <v>0</v>
      </c>
      <c r="U62" s="557">
        <f t="shared" si="4"/>
        <v>0</v>
      </c>
      <c r="V62" s="50">
        <f>IF(E62&gt;0,2,0)</f>
        <v>0</v>
      </c>
      <c r="W62" s="50">
        <f>COUNTIF(V61:V77,2)</f>
        <v>0</v>
      </c>
      <c r="X62" s="10"/>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3">
      <c r="B63" s="806" t="s">
        <v>803</v>
      </c>
      <c r="C63" s="806"/>
      <c r="D63" s="806"/>
      <c r="E63" s="770">
        <f>P12</f>
        <v>0</v>
      </c>
      <c r="F63" s="746"/>
      <c r="G63" s="925" t="s">
        <v>1941</v>
      </c>
      <c r="H63" s="925"/>
      <c r="I63" s="949"/>
      <c r="J63" s="949"/>
      <c r="K63" s="1006"/>
      <c r="L63" s="1007"/>
      <c r="M63" s="1007"/>
      <c r="N63" s="1007"/>
      <c r="O63" s="1008"/>
      <c r="P63" s="1010"/>
      <c r="R63" s="557">
        <f>E63</f>
        <v>0</v>
      </c>
      <c r="S63" s="147">
        <f>LARGE($R$61:$R$77,3)</f>
        <v>0</v>
      </c>
      <c r="T63" s="553">
        <f>U62+S64*(1-U62)</f>
        <v>0</v>
      </c>
      <c r="U63" s="557">
        <f t="shared" si="4"/>
        <v>0</v>
      </c>
      <c r="V63" s="50">
        <f>IF(E63&gt;0,2,0)</f>
        <v>0</v>
      </c>
      <c r="W63" s="10"/>
      <c r="X63" s="10"/>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3">
      <c r="B64" s="806" t="s">
        <v>804</v>
      </c>
      <c r="C64" s="806"/>
      <c r="D64" s="806"/>
      <c r="E64" s="770">
        <f>P13</f>
        <v>0</v>
      </c>
      <c r="F64" s="746"/>
      <c r="G64" s="925" t="s">
        <v>1941</v>
      </c>
      <c r="H64" s="925"/>
      <c r="I64" s="949"/>
      <c r="J64" s="949"/>
      <c r="K64" s="1006"/>
      <c r="L64" s="1007"/>
      <c r="M64" s="1007"/>
      <c r="N64" s="1007"/>
      <c r="O64" s="1008"/>
      <c r="P64" s="1010"/>
      <c r="R64" s="557">
        <f>E64</f>
        <v>0</v>
      </c>
      <c r="S64" s="147">
        <f>LARGE($R$61:$R$77,4)</f>
        <v>0</v>
      </c>
      <c r="T64" s="553">
        <f t="shared" ref="T64:T76" si="5">U63+S65*(1-U63)</f>
        <v>0</v>
      </c>
      <c r="U64" s="557">
        <f t="shared" si="4"/>
        <v>0</v>
      </c>
      <c r="V64" s="50">
        <f>IF(E64&gt;0,2,0)</f>
        <v>0</v>
      </c>
      <c r="W64" s="10"/>
      <c r="X64" s="10"/>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3">
      <c r="B65" s="806" t="s">
        <v>805</v>
      </c>
      <c r="C65" s="806"/>
      <c r="D65" s="806"/>
      <c r="E65" s="770">
        <f>P14</f>
        <v>0</v>
      </c>
      <c r="F65" s="746"/>
      <c r="G65" s="925" t="s">
        <v>1941</v>
      </c>
      <c r="H65" s="925"/>
      <c r="I65" s="949"/>
      <c r="J65" s="949"/>
      <c r="K65" s="1006"/>
      <c r="L65" s="1007"/>
      <c r="M65" s="1007"/>
      <c r="N65" s="1007"/>
      <c r="O65" s="1008"/>
      <c r="P65" s="1010"/>
      <c r="R65" s="557">
        <f>E65</f>
        <v>0</v>
      </c>
      <c r="S65" s="147">
        <f>LARGE($R$61:$R$77,5)</f>
        <v>0</v>
      </c>
      <c r="T65" s="553">
        <f t="shared" si="5"/>
        <v>0</v>
      </c>
      <c r="U65" s="557">
        <f t="shared" si="4"/>
        <v>0</v>
      </c>
      <c r="V65" s="50">
        <f>IF(E65&gt;0,2,0)</f>
        <v>0</v>
      </c>
      <c r="W65" s="10"/>
      <c r="X65" s="10"/>
      <c r="Y65" s="10" t="s">
        <v>511</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3">
      <c r="B66" s="806" t="s">
        <v>1958</v>
      </c>
      <c r="C66" s="806"/>
      <c r="D66" s="806"/>
      <c r="E66" s="770">
        <f>IF(E607&gt;0,0,P16)</f>
        <v>0</v>
      </c>
      <c r="F66" s="746"/>
      <c r="G66" s="1115" t="s">
        <v>2256</v>
      </c>
      <c r="H66" s="1116"/>
      <c r="I66" s="949"/>
      <c r="J66" s="949"/>
      <c r="K66" s="1006"/>
      <c r="L66" s="1007"/>
      <c r="M66" s="1007"/>
      <c r="N66" s="1007"/>
      <c r="O66" s="1008"/>
      <c r="P66" s="1010"/>
      <c r="R66" s="557">
        <f>IF(I66&gt;0,I66,E66)</f>
        <v>0</v>
      </c>
      <c r="S66" s="147">
        <f>LARGE($R$61:$R$77,6)</f>
        <v>0</v>
      </c>
      <c r="T66" s="553">
        <f t="shared" si="5"/>
        <v>0</v>
      </c>
      <c r="U66" s="557">
        <f t="shared" si="4"/>
        <v>0</v>
      </c>
      <c r="V66" s="50">
        <f t="shared" ref="V66:V77" si="6">IF(E66&gt;0,1,0)</f>
        <v>0</v>
      </c>
      <c r="W66" s="10"/>
      <c r="X66" s="10"/>
      <c r="Y66" s="97"/>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3">
      <c r="B67" s="806" t="s">
        <v>1985</v>
      </c>
      <c r="C67" s="806"/>
      <c r="D67" s="806"/>
      <c r="E67" s="770">
        <f>P36</f>
        <v>0</v>
      </c>
      <c r="F67" s="746"/>
      <c r="G67" s="935"/>
      <c r="H67" s="935"/>
      <c r="I67" s="936">
        <f t="shared" ref="I67:I73" si="7">IF(AND(Y67&lt;0.01,Y67&gt;0),0.01,ROUND(Y67,2))</f>
        <v>0</v>
      </c>
      <c r="J67" s="936"/>
      <c r="K67" s="1006"/>
      <c r="L67" s="1007"/>
      <c r="M67" s="1007"/>
      <c r="N67" s="1007"/>
      <c r="O67" s="1008"/>
      <c r="P67" s="1010"/>
      <c r="R67" s="557">
        <f t="shared" ref="R67:R73" si="8">IF(I67&gt;0,I67,E67)</f>
        <v>0</v>
      </c>
      <c r="S67" s="147">
        <f>LARGE($R$61:$R$77,7)</f>
        <v>0</v>
      </c>
      <c r="T67" s="553">
        <f t="shared" si="5"/>
        <v>0</v>
      </c>
      <c r="U67" s="557">
        <f t="shared" si="4"/>
        <v>0</v>
      </c>
      <c r="V67" s="50">
        <f t="shared" si="6"/>
        <v>0</v>
      </c>
      <c r="W67" s="10"/>
      <c r="X67" s="10"/>
      <c r="Y67" s="294">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3">
      <c r="B68" s="806" t="s">
        <v>1226</v>
      </c>
      <c r="C68" s="806"/>
      <c r="D68" s="806"/>
      <c r="E68" s="770">
        <f>P41</f>
        <v>0</v>
      </c>
      <c r="F68" s="746"/>
      <c r="G68" s="935"/>
      <c r="H68" s="935"/>
      <c r="I68" s="936">
        <f t="shared" si="7"/>
        <v>0</v>
      </c>
      <c r="J68" s="936"/>
      <c r="K68" s="1006"/>
      <c r="L68" s="1007"/>
      <c r="M68" s="1007"/>
      <c r="N68" s="1007"/>
      <c r="O68" s="1008"/>
      <c r="P68" s="1010"/>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3">
      <c r="B69" s="806" t="s">
        <v>1416</v>
      </c>
      <c r="C69" s="806"/>
      <c r="D69" s="806"/>
      <c r="E69" s="770">
        <f>P44</f>
        <v>0</v>
      </c>
      <c r="F69" s="770"/>
      <c r="G69" s="935"/>
      <c r="H69" s="935"/>
      <c r="I69" s="936">
        <f t="shared" si="7"/>
        <v>0</v>
      </c>
      <c r="J69" s="936"/>
      <c r="K69" s="1006"/>
      <c r="L69" s="1007"/>
      <c r="M69" s="1007"/>
      <c r="N69" s="1007"/>
      <c r="O69" s="1008"/>
      <c r="P69" s="1010"/>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3">
      <c r="B70" s="757" t="s">
        <v>1061</v>
      </c>
      <c r="C70" s="758"/>
      <c r="D70" s="759"/>
      <c r="E70" s="770">
        <f>P45</f>
        <v>0</v>
      </c>
      <c r="F70" s="770"/>
      <c r="G70" s="935"/>
      <c r="H70" s="935"/>
      <c r="I70" s="936">
        <f t="shared" si="7"/>
        <v>0</v>
      </c>
      <c r="J70" s="936"/>
      <c r="K70" s="633"/>
      <c r="L70" s="634"/>
      <c r="M70" s="634"/>
      <c r="N70" s="634"/>
      <c r="O70" s="635"/>
      <c r="P70" s="1010"/>
      <c r="R70" s="557">
        <f t="shared" si="8"/>
        <v>0</v>
      </c>
      <c r="S70" s="147">
        <f>LARGE($R$61:$R$77,10)</f>
        <v>0</v>
      </c>
      <c r="T70" s="553">
        <f t="shared" si="5"/>
        <v>0</v>
      </c>
      <c r="U70" s="557">
        <f t="shared" si="4"/>
        <v>0</v>
      </c>
      <c r="V70" s="50">
        <f t="shared" si="6"/>
        <v>0</v>
      </c>
      <c r="W70" s="10"/>
      <c r="X70" s="10"/>
      <c r="Y70" s="294">
        <f t="shared" si="9"/>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3">
      <c r="B71" s="757" t="s">
        <v>1418</v>
      </c>
      <c r="C71" s="758"/>
      <c r="D71" s="759"/>
      <c r="E71" s="770">
        <f>P46</f>
        <v>0</v>
      </c>
      <c r="F71" s="770"/>
      <c r="G71" s="935"/>
      <c r="H71" s="935"/>
      <c r="I71" s="936">
        <f t="shared" si="7"/>
        <v>0</v>
      </c>
      <c r="J71" s="936"/>
      <c r="K71" s="633"/>
      <c r="L71" s="634"/>
      <c r="M71" s="634"/>
      <c r="N71" s="634"/>
      <c r="O71" s="635"/>
      <c r="P71" s="1010"/>
      <c r="R71" s="557">
        <f t="shared" si="8"/>
        <v>0</v>
      </c>
      <c r="S71" s="147">
        <f>LARGE($R$61:$R$77,11)</f>
        <v>0</v>
      </c>
      <c r="T71" s="553">
        <f t="shared" si="5"/>
        <v>0</v>
      </c>
      <c r="U71" s="557">
        <f t="shared" si="4"/>
        <v>0</v>
      </c>
      <c r="V71" s="50">
        <f t="shared" si="6"/>
        <v>0</v>
      </c>
      <c r="W71" s="10"/>
      <c r="X71" s="10"/>
      <c r="Y71" s="294">
        <f t="shared" si="9"/>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3">
      <c r="B72" s="757" t="s">
        <v>1419</v>
      </c>
      <c r="C72" s="758"/>
      <c r="D72" s="759"/>
      <c r="E72" s="770">
        <f>P47</f>
        <v>0</v>
      </c>
      <c r="F72" s="770"/>
      <c r="G72" s="935"/>
      <c r="H72" s="935"/>
      <c r="I72" s="936">
        <f t="shared" si="7"/>
        <v>0</v>
      </c>
      <c r="J72" s="936"/>
      <c r="K72" s="633"/>
      <c r="L72" s="634"/>
      <c r="M72" s="634"/>
      <c r="N72" s="634"/>
      <c r="O72" s="635"/>
      <c r="P72" s="1010"/>
      <c r="R72" s="557">
        <f t="shared" si="8"/>
        <v>0</v>
      </c>
      <c r="S72" s="147">
        <f>LARGE($R$61:$R$77,12)</f>
        <v>0</v>
      </c>
      <c r="T72" s="553">
        <f t="shared" si="5"/>
        <v>0</v>
      </c>
      <c r="U72" s="557">
        <f t="shared" si="4"/>
        <v>0</v>
      </c>
      <c r="V72" s="50">
        <f t="shared" si="6"/>
        <v>0</v>
      </c>
      <c r="W72" s="10"/>
      <c r="X72" s="10"/>
      <c r="Y72" s="294">
        <f t="shared" si="9"/>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3">
      <c r="B73" s="806" t="s">
        <v>1232</v>
      </c>
      <c r="C73" s="806"/>
      <c r="D73" s="806"/>
      <c r="E73" s="770">
        <f>P50</f>
        <v>0</v>
      </c>
      <c r="F73" s="746"/>
      <c r="G73" s="935"/>
      <c r="H73" s="935"/>
      <c r="I73" s="936">
        <f t="shared" si="7"/>
        <v>0</v>
      </c>
      <c r="J73" s="936"/>
      <c r="K73" s="972" t="str">
        <f>IF(AND(P16&gt;0,E607&gt;0),"A value has been granted for motor loss. Additional impairment value is not allowed for reduced range of motion in the same extremity.","")</f>
        <v/>
      </c>
      <c r="L73" s="973"/>
      <c r="M73" s="973"/>
      <c r="N73" s="973"/>
      <c r="O73" s="974"/>
      <c r="P73" s="1010"/>
      <c r="R73" s="557">
        <f t="shared" si="8"/>
        <v>0</v>
      </c>
      <c r="S73" s="147">
        <f>LARGE($R$61:$R$77,13)</f>
        <v>0</v>
      </c>
      <c r="T73" s="553">
        <f t="shared" si="5"/>
        <v>0</v>
      </c>
      <c r="U73" s="557">
        <f t="shared" si="4"/>
        <v>0</v>
      </c>
      <c r="V73" s="50">
        <f t="shared" si="6"/>
        <v>0</v>
      </c>
      <c r="W73" s="10"/>
      <c r="X73" s="10"/>
      <c r="Y73" s="294">
        <f t="shared" si="9"/>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3">
      <c r="B74" s="806" t="s">
        <v>806</v>
      </c>
      <c r="C74" s="806"/>
      <c r="D74" s="806"/>
      <c r="E74" s="770">
        <f>P54</f>
        <v>0</v>
      </c>
      <c r="F74" s="746"/>
      <c r="G74" s="925" t="s">
        <v>1941</v>
      </c>
      <c r="H74" s="925"/>
      <c r="I74" s="925"/>
      <c r="J74" s="925"/>
      <c r="K74" s="972"/>
      <c r="L74" s="973"/>
      <c r="M74" s="973"/>
      <c r="N74" s="973"/>
      <c r="O74" s="974"/>
      <c r="P74" s="1010"/>
      <c r="R74" s="557">
        <f>E74</f>
        <v>0</v>
      </c>
      <c r="S74" s="147">
        <f>LARGE($R$61:$R$77,14)</f>
        <v>0</v>
      </c>
      <c r="T74" s="553">
        <f t="shared" si="5"/>
        <v>0</v>
      </c>
      <c r="U74" s="557">
        <f t="shared" si="4"/>
        <v>0</v>
      </c>
      <c r="V74" s="50">
        <f t="shared" si="6"/>
        <v>0</v>
      </c>
      <c r="W74" s="10"/>
      <c r="X74" s="10"/>
      <c r="Y74" s="219"/>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3">
      <c r="B75" s="806" t="s">
        <v>807</v>
      </c>
      <c r="C75" s="806"/>
      <c r="D75" s="806"/>
      <c r="E75" s="770">
        <f>P55</f>
        <v>0</v>
      </c>
      <c r="F75" s="746"/>
      <c r="G75" s="925" t="s">
        <v>1941</v>
      </c>
      <c r="H75" s="925"/>
      <c r="I75" s="925"/>
      <c r="J75" s="925"/>
      <c r="K75" s="972"/>
      <c r="L75" s="973"/>
      <c r="M75" s="973"/>
      <c r="N75" s="973"/>
      <c r="O75" s="974"/>
      <c r="P75" s="1010"/>
      <c r="R75" s="557">
        <f>E75</f>
        <v>0</v>
      </c>
      <c r="S75" s="147">
        <f>LARGE($R$61:$R$77,15)</f>
        <v>0</v>
      </c>
      <c r="T75" s="553">
        <f t="shared" si="5"/>
        <v>0</v>
      </c>
      <c r="U75" s="557">
        <f t="shared" si="4"/>
        <v>0</v>
      </c>
      <c r="V75" s="50">
        <f t="shared" si="6"/>
        <v>0</v>
      </c>
      <c r="W75" s="10"/>
      <c r="X75" s="10"/>
      <c r="Y75" s="219"/>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3">
      <c r="B76" s="806" t="s">
        <v>1446</v>
      </c>
      <c r="C76" s="806"/>
      <c r="D76" s="806"/>
      <c r="E76" s="770">
        <f>P57</f>
        <v>0</v>
      </c>
      <c r="F76" s="746"/>
      <c r="G76" s="935"/>
      <c r="H76" s="935"/>
      <c r="I76" s="936">
        <f>IF(AND(Y76&lt;0.01,Y76&gt;0),0.01,ROUND(Y76,2))</f>
        <v>0</v>
      </c>
      <c r="J76" s="936"/>
      <c r="K76" s="972"/>
      <c r="L76" s="973"/>
      <c r="M76" s="973"/>
      <c r="N76" s="973"/>
      <c r="O76" s="974"/>
      <c r="P76" s="1010"/>
      <c r="R76" s="557">
        <f>IF(I76&gt;0,I76,E76)</f>
        <v>0</v>
      </c>
      <c r="S76" s="147">
        <f>LARGE($R$61:$R$77,16)</f>
        <v>0</v>
      </c>
      <c r="T76" s="553">
        <f t="shared" si="5"/>
        <v>0</v>
      </c>
      <c r="U76" s="557">
        <f t="shared" si="4"/>
        <v>0</v>
      </c>
      <c r="V76" s="50">
        <f t="shared" si="6"/>
        <v>0</v>
      </c>
      <c r="W76" s="10"/>
      <c r="X76" s="10"/>
      <c r="Y76" s="294">
        <f t="shared" ref="Y76:Y77" si="10">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3">
      <c r="B77" s="804" t="s">
        <v>1253</v>
      </c>
      <c r="C77" s="804"/>
      <c r="D77" s="804"/>
      <c r="E77" s="1015">
        <f>P58</f>
        <v>0</v>
      </c>
      <c r="F77" s="873"/>
      <c r="G77" s="1009"/>
      <c r="H77" s="1009"/>
      <c r="I77" s="992">
        <f>IF(AND(Y77&lt;0.01,Y77&gt;0),0.01,ROUND(Y77,2))</f>
        <v>0</v>
      </c>
      <c r="J77" s="992"/>
      <c r="K77" s="975"/>
      <c r="L77" s="976"/>
      <c r="M77" s="976"/>
      <c r="N77" s="976"/>
      <c r="O77" s="977"/>
      <c r="P77" s="1010"/>
      <c r="R77" s="557">
        <f>IF(I77&gt;0,I77,E77)</f>
        <v>0</v>
      </c>
      <c r="S77" s="147">
        <f>LARGE($R$61:$R$77,17)</f>
        <v>0</v>
      </c>
      <c r="T77" s="571"/>
      <c r="U77" s="553"/>
      <c r="V77" s="50">
        <f t="shared" si="6"/>
        <v>0</v>
      </c>
      <c r="W77" s="10"/>
      <c r="X77" s="10"/>
      <c r="Y77" s="294">
        <f t="shared" si="10"/>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3">
      <c r="B78" s="958" t="s">
        <v>114</v>
      </c>
      <c r="C78" s="958"/>
      <c r="D78" s="958"/>
      <c r="E78" s="958"/>
      <c r="F78" s="958"/>
      <c r="G78" s="958"/>
      <c r="H78" s="958"/>
      <c r="I78" s="958"/>
      <c r="J78" s="958"/>
      <c r="K78" s="958"/>
      <c r="L78" s="958"/>
      <c r="M78" s="958"/>
      <c r="N78" s="958"/>
      <c r="O78" s="958"/>
      <c r="P78" s="996"/>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3">
      <c r="B79" s="1135"/>
      <c r="C79" s="846"/>
      <c r="D79" s="846"/>
      <c r="E79" s="846"/>
      <c r="F79" s="846"/>
      <c r="G79" s="846"/>
      <c r="H79" s="846"/>
      <c r="I79" s="846"/>
      <c r="J79" s="846"/>
      <c r="K79" s="846"/>
      <c r="L79" s="846"/>
      <c r="M79" s="846"/>
      <c r="N79" s="846"/>
      <c r="O79" s="846"/>
      <c r="P79" s="1136"/>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3">
      <c r="B80" s="878" t="s">
        <v>115</v>
      </c>
      <c r="C80" s="878"/>
      <c r="D80" s="878"/>
      <c r="E80" s="878"/>
      <c r="F80" s="878"/>
      <c r="G80" s="878"/>
      <c r="H80" s="878"/>
      <c r="I80" s="878"/>
      <c r="J80" s="878"/>
      <c r="K80" s="878"/>
      <c r="L80" s="878"/>
      <c r="M80" s="878"/>
      <c r="N80" s="878"/>
      <c r="O80" s="878"/>
      <c r="P80" s="878"/>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3">
      <c r="B81" s="806" t="s">
        <v>1323</v>
      </c>
      <c r="C81" s="806"/>
      <c r="D81" s="806"/>
      <c r="E81" s="806"/>
      <c r="F81" s="806"/>
      <c r="G81" s="806"/>
      <c r="H81" s="806"/>
      <c r="I81" s="806"/>
      <c r="J81" s="806"/>
      <c r="K81" s="806"/>
      <c r="L81" s="806"/>
      <c r="M81" s="806"/>
      <c r="N81" s="806"/>
      <c r="O81" s="806"/>
      <c r="P81" s="936">
        <f>SUMIF(S81:Y81,B82,S82:Y82)</f>
        <v>0</v>
      </c>
      <c r="R81" s="950"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3">
      <c r="B82" s="1014"/>
      <c r="C82" s="1014"/>
      <c r="D82" s="1014"/>
      <c r="E82" s="1014"/>
      <c r="F82" s="1014"/>
      <c r="G82" s="1014"/>
      <c r="H82" s="1014"/>
      <c r="I82" s="1014"/>
      <c r="J82" s="1014"/>
      <c r="K82" s="1014"/>
      <c r="L82" s="1014"/>
      <c r="M82" s="1014"/>
      <c r="N82" s="1014"/>
      <c r="O82" s="1014"/>
      <c r="P82" s="936"/>
      <c r="R82" s="791"/>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3">
      <c r="B83" s="981" t="str">
        <f>IF(AND(P81&gt;0.1,B85=""),"Enter specific level of amputation or shortening below.","")</f>
        <v/>
      </c>
      <c r="C83" s="981"/>
      <c r="D83" s="981"/>
      <c r="E83" s="981"/>
      <c r="F83" s="981"/>
      <c r="G83" s="981"/>
      <c r="H83" s="981"/>
      <c r="I83" s="981"/>
      <c r="J83" s="981"/>
      <c r="K83" s="981"/>
      <c r="L83" s="981"/>
      <c r="M83" s="981"/>
      <c r="N83" s="981"/>
      <c r="O83" s="981"/>
      <c r="P83" s="981"/>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3">
      <c r="B84" s="776" t="s">
        <v>1183</v>
      </c>
      <c r="C84" s="776"/>
      <c r="D84" s="776"/>
      <c r="E84" s="776"/>
      <c r="F84" s="776"/>
      <c r="G84" s="776"/>
      <c r="H84" s="776"/>
      <c r="I84" s="776"/>
      <c r="J84" s="776"/>
      <c r="K84" s="776"/>
      <c r="L84" s="776"/>
      <c r="M84" s="776"/>
      <c r="N84" s="776"/>
      <c r="O84" s="776"/>
      <c r="P84" s="936">
        <f>IF(P81=1,0,U11)</f>
        <v>0</v>
      </c>
      <c r="R84" s="573">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3">
      <c r="B85" s="1014"/>
      <c r="C85" s="1014"/>
      <c r="D85" s="1014"/>
      <c r="E85" s="1014"/>
      <c r="F85" s="1014"/>
      <c r="G85" s="1014"/>
      <c r="H85" s="1014"/>
      <c r="I85" s="1014"/>
      <c r="J85" s="1014"/>
      <c r="K85" s="1014"/>
      <c r="L85" s="1014"/>
      <c r="M85" s="1014"/>
      <c r="N85" s="1014"/>
      <c r="O85" s="1014"/>
      <c r="P85" s="936"/>
      <c r="R85" s="776" t="s">
        <v>679</v>
      </c>
      <c r="S85" s="572">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3">
      <c r="B86" s="1042" t="s">
        <v>680</v>
      </c>
      <c r="C86" s="1043"/>
      <c r="D86" s="1043"/>
      <c r="E86" s="1043"/>
      <c r="F86" s="1043"/>
      <c r="G86" s="1043"/>
      <c r="H86" s="1043"/>
      <c r="I86" s="1043"/>
      <c r="J86" s="1043"/>
      <c r="K86" s="1043"/>
      <c r="L86" s="1043"/>
      <c r="M86" s="1043"/>
      <c r="N86" s="1043"/>
      <c r="O86" s="1044"/>
      <c r="P86" s="936"/>
      <c r="R86" s="77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3">
      <c r="B87" s="792"/>
      <c r="C87" s="792"/>
      <c r="D87" s="792"/>
      <c r="E87" s="792"/>
      <c r="F87" s="792"/>
      <c r="G87" s="792"/>
      <c r="H87" s="792"/>
      <c r="I87" s="792"/>
      <c r="J87" s="792"/>
      <c r="K87" s="792"/>
      <c r="L87" s="792"/>
      <c r="M87" s="792"/>
      <c r="N87" s="792"/>
      <c r="O87" s="79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3">
      <c r="B88" s="925" t="s">
        <v>1594</v>
      </c>
      <c r="C88" s="925"/>
      <c r="D88" s="925"/>
      <c r="E88" s="925"/>
      <c r="F88" s="925"/>
      <c r="G88" s="925"/>
      <c r="H88" s="925"/>
      <c r="I88" s="925"/>
      <c r="J88" s="925"/>
      <c r="K88" s="925"/>
      <c r="L88" s="925"/>
      <c r="M88" s="925"/>
      <c r="N88" s="925"/>
      <c r="O88" s="925"/>
      <c r="P88" s="770">
        <f>IF(R101=1,"ERROR",IF(AND(AD92&gt;0,AD92&lt;0.01),0.01,ROUND(AD92,2)))</f>
        <v>0</v>
      </c>
      <c r="R88" s="10"/>
      <c r="S88" s="10"/>
      <c r="T88" s="776" t="s">
        <v>1257</v>
      </c>
      <c r="U88" s="776" t="s">
        <v>1257</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3">
      <c r="B89" s="18" t="s">
        <v>115</v>
      </c>
      <c r="C89" s="925" t="s">
        <v>1595</v>
      </c>
      <c r="D89" s="925"/>
      <c r="E89" s="925"/>
      <c r="F89" s="925"/>
      <c r="G89" s="927" t="s">
        <v>1081</v>
      </c>
      <c r="H89" s="927"/>
      <c r="I89" s="927"/>
      <c r="J89" s="927"/>
      <c r="K89" s="925"/>
      <c r="L89" s="925"/>
      <c r="M89" s="925"/>
      <c r="N89" s="925"/>
      <c r="O89" s="925"/>
      <c r="P89" s="770"/>
      <c r="R89" s="10"/>
      <c r="S89" s="10"/>
      <c r="T89" s="776"/>
      <c r="U89" s="776"/>
      <c r="V89" s="10"/>
      <c r="W89" s="10"/>
      <c r="X89" s="10"/>
      <c r="Y89" s="10"/>
      <c r="Z89" s="10"/>
      <c r="AA89" s="984" t="s">
        <v>2258</v>
      </c>
      <c r="AB89" s="985"/>
      <c r="AC89" s="985"/>
      <c r="AD89" s="986"/>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3">
      <c r="B90" s="18"/>
      <c r="C90" s="925" t="s">
        <v>365</v>
      </c>
      <c r="D90" s="925"/>
      <c r="E90" s="925" t="s">
        <v>1795</v>
      </c>
      <c r="F90" s="925"/>
      <c r="G90" s="925" t="s">
        <v>365</v>
      </c>
      <c r="H90" s="925"/>
      <c r="I90" s="925" t="s">
        <v>1795</v>
      </c>
      <c r="J90" s="925"/>
      <c r="K90" s="925"/>
      <c r="L90" s="925"/>
      <c r="M90" s="925"/>
      <c r="N90" s="925"/>
      <c r="O90" s="925"/>
      <c r="P90" s="770"/>
      <c r="R90" s="10"/>
      <c r="S90" s="50" t="s">
        <v>1654</v>
      </c>
      <c r="T90" s="259" t="s">
        <v>1595</v>
      </c>
      <c r="U90" s="259" t="s">
        <v>1596</v>
      </c>
      <c r="V90" s="925" t="s">
        <v>1083</v>
      </c>
      <c r="W90" s="925"/>
      <c r="X90" s="925"/>
      <c r="Y90" s="925"/>
      <c r="AA90" s="987"/>
      <c r="AB90" s="712"/>
      <c r="AC90" s="712"/>
      <c r="AD90" s="988"/>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3">
      <c r="B91" s="146" t="s">
        <v>681</v>
      </c>
      <c r="C91" s="708"/>
      <c r="D91" s="708"/>
      <c r="E91" s="948">
        <f>UETable!AV12</f>
        <v>0</v>
      </c>
      <c r="F91" s="948"/>
      <c r="G91" s="708"/>
      <c r="H91" s="708"/>
      <c r="I91" s="929">
        <f>IF(C91="",0,IF(OR(C91&lt;=0,G91&lt;=0),E91,IF(G91&lt;C91,0,UETable!BA12)))</f>
        <v>0</v>
      </c>
      <c r="J91" s="929"/>
      <c r="K91" s="946" t="str">
        <f>IF(OR(C91="NA",G91="NA"),"",IF(AND(C91&lt;&gt;"",G91=""),"Enter contralateral or NA.",IF(AND(C91="",G91&lt;&gt;""),"Need data","")))</f>
        <v/>
      </c>
      <c r="L91" s="946"/>
      <c r="M91" s="946"/>
      <c r="N91" s="946"/>
      <c r="O91" s="946"/>
      <c r="P91" s="770"/>
      <c r="R91" s="10"/>
      <c r="S91" s="50">
        <v>70</v>
      </c>
      <c r="T91" s="50" t="str">
        <f>IF(OR(C91="",C91="NA"),"",IF(C91&gt;S91,S91,IF(C91&lt;0,0,C91)))</f>
        <v/>
      </c>
      <c r="U91" s="50" t="str">
        <f>IF(OR(G91="",G91="NA"),"",IF(G91&gt;S91,S91,IF(G91&lt;0,0,G91)))</f>
        <v/>
      </c>
      <c r="V91" s="562" t="str">
        <f>IF(Y91="","",ROUND(Y91,0))</f>
        <v/>
      </c>
      <c r="W91" s="806" t="s">
        <v>1202</v>
      </c>
      <c r="X91" s="806"/>
      <c r="Y91" s="563" t="str">
        <f>IF(T91="","",IF(OR(U91="",U91=0,U91&lt;T91),T91,(T91*70)/U91))</f>
        <v/>
      </c>
      <c r="Z91" s="10"/>
      <c r="AA91" s="989"/>
      <c r="AB91" s="990"/>
      <c r="AC91" s="990"/>
      <c r="AD91" s="991"/>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3">
      <c r="B92" s="146" t="s">
        <v>682</v>
      </c>
      <c r="C92" s="708"/>
      <c r="D92" s="708"/>
      <c r="E92" s="948">
        <f>UETable!AV13</f>
        <v>0</v>
      </c>
      <c r="F92" s="948"/>
      <c r="G92" s="708"/>
      <c r="H92" s="708"/>
      <c r="I92" s="929">
        <f>IF(C92="",0,IF(OR(C92&gt;=70,G92&gt;=70),E92,IF(G92&gt;C92,0,UETable!BA13)))</f>
        <v>0</v>
      </c>
      <c r="J92" s="929"/>
      <c r="K92" s="946" t="str">
        <f>IF(OR(C92="NA",G92="NA"),"",IF(AND(C92&lt;&gt;"",G92=""),"Enter contralateral or NA.",IF(AND(C92="",G92&lt;&gt;""),"Need data","")))</f>
        <v/>
      </c>
      <c r="L92" s="946"/>
      <c r="M92" s="946"/>
      <c r="N92" s="946"/>
      <c r="O92" s="946"/>
      <c r="P92" s="77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IF(E93&gt;0,O94,IF(AND(E93=0,AE92=1,O94&gt;0,C103&gt;0),C103*O94,O94))</f>
        <v>0</v>
      </c>
      <c r="AB92" s="194">
        <f>IF(E97&gt;0,O98,IF(AND(E97=0,AE92=1,O98&gt;0,C103&gt;0),C103*O98,O98))</f>
        <v>0</v>
      </c>
      <c r="AC92" s="638">
        <f>IF(E101&gt;0,O102,IF(AND(E101=0,AE92=1,O102&gt;0,C103&gt;0),C103*O102,O102))</f>
        <v>0</v>
      </c>
      <c r="AD92" s="194">
        <f>IF(AND(AE92=0,C103&gt;0),C103*AD100,AD100)</f>
        <v>0</v>
      </c>
      <c r="AE92" s="18">
        <f>IF(OR(E93&gt;0,E97&gt;0,E101&gt;0),1,0)</f>
        <v>0</v>
      </c>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3">
      <c r="B93" s="146" t="s">
        <v>683</v>
      </c>
      <c r="C93" s="708"/>
      <c r="D93" s="708"/>
      <c r="E93" s="948">
        <f>IF(AND(C93&lt;&gt;"",C93&lt;&gt;"NA",C92&lt;&gt;"NA",C92&lt;&gt;""),"ERROR",IF(AND(C93&lt;&gt;"",C93&lt;&gt;"NA",C91&lt;&gt;"",C91&lt;&gt;"NA"),"ERROR",UETable!AV14))</f>
        <v>0</v>
      </c>
      <c r="F93" s="948"/>
      <c r="G93" s="946" t="str">
        <f>IF(AND(C93&lt;&gt;"",C93&lt;&gt;"NA",C92&lt;&gt;"NA",C92&lt;&gt;""),"ERROR: Cannot rate ROM and ankylosis.",IF(AND(C93&lt;&gt;"",C93&lt;&gt;"NA",C91&lt;&gt;"",C91&lt;&gt;"NA"),"ERROR: Cannot rate ROM and ankylosis.",""))</f>
        <v/>
      </c>
      <c r="H93" s="946"/>
      <c r="I93" s="946"/>
      <c r="J93" s="946"/>
      <c r="K93" s="946"/>
      <c r="L93" s="946"/>
      <c r="M93" s="946"/>
      <c r="N93" s="946"/>
      <c r="O93" s="946"/>
      <c r="P93" s="770"/>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3">
      <c r="B94" s="993"/>
      <c r="C94" s="994"/>
      <c r="D94" s="994"/>
      <c r="E94" s="994"/>
      <c r="F94" s="994"/>
      <c r="G94" s="994"/>
      <c r="H94" s="994"/>
      <c r="I94" s="994"/>
      <c r="J94" s="995"/>
      <c r="K94" s="958" t="s">
        <v>1841</v>
      </c>
      <c r="L94" s="958"/>
      <c r="M94" s="958"/>
      <c r="N94" s="958"/>
      <c r="O94" s="65">
        <f>IF(E93="ERROR","ERROR",IF(R94&gt;1,1,R94))</f>
        <v>0</v>
      </c>
      <c r="P94" s="77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3">
      <c r="B95" s="146" t="s">
        <v>684</v>
      </c>
      <c r="C95" s="708"/>
      <c r="D95" s="708"/>
      <c r="E95" s="948">
        <f>UETable!AV16</f>
        <v>0</v>
      </c>
      <c r="F95" s="948"/>
      <c r="G95" s="708"/>
      <c r="H95" s="708"/>
      <c r="I95" s="929">
        <f>IF(C95="",0,IF(OR(C95&lt;=0,G95&lt;=0),E95,IF(G95&lt;C95,0,UETable!BA16)))</f>
        <v>0</v>
      </c>
      <c r="J95" s="929"/>
      <c r="K95" s="946" t="str">
        <f>IF(OR(C95="NA",G95="NA"),"",IF(AND(C95&lt;&gt;"",G95=""),"Enter contralateral or NA.",IF(AND(C95="",G95&lt;&gt;""),"Need data","")))</f>
        <v/>
      </c>
      <c r="L95" s="946"/>
      <c r="M95" s="946"/>
      <c r="N95" s="946"/>
      <c r="O95" s="946"/>
      <c r="P95" s="770"/>
      <c r="R95" s="10"/>
      <c r="S95" s="50">
        <v>100</v>
      </c>
      <c r="T95" s="50" t="str">
        <f>IF(OR(C95="",C95="NA"),"",IF(C95&gt;S95,S95,IF(C95&lt;0,0,C95)))</f>
        <v/>
      </c>
      <c r="U95" s="50" t="str">
        <f>IF(OR(G95="",G95="NA"),"",IF(G95&gt;S95,S95,IF(G95&lt;0,0,G95)))</f>
        <v/>
      </c>
      <c r="V95" s="562" t="str">
        <f>IF(Y95="","",ROUND(Y95,0))</f>
        <v/>
      </c>
      <c r="W95" s="806" t="s">
        <v>1202</v>
      </c>
      <c r="X95" s="806"/>
      <c r="Y95" s="563"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3">
      <c r="B96" s="146" t="s">
        <v>685</v>
      </c>
      <c r="C96" s="708"/>
      <c r="D96" s="708"/>
      <c r="E96" s="948">
        <f>UETable!AV17</f>
        <v>0</v>
      </c>
      <c r="F96" s="948"/>
      <c r="G96" s="708"/>
      <c r="H96" s="708"/>
      <c r="I96" s="929">
        <f>IF(C96="",0,IF(OR(C96&gt;=100,G96&gt;=100),E96,IF(G96&gt;C96,0,UETable!BA17)))</f>
        <v>0</v>
      </c>
      <c r="J96" s="929"/>
      <c r="K96" s="946" t="str">
        <f>IF(OR(C96="NA",G96="NA"),"",IF(AND(C96&lt;&gt;"",G96=""),"Enter contralateral or NA.",IF(AND(C96="",G96&lt;&gt;""),"Need data","")))</f>
        <v/>
      </c>
      <c r="L96" s="946"/>
      <c r="M96" s="946"/>
      <c r="N96" s="946"/>
      <c r="O96" s="946"/>
      <c r="P96" s="77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3">
      <c r="B97" s="146" t="s">
        <v>686</v>
      </c>
      <c r="C97" s="708"/>
      <c r="D97" s="708"/>
      <c r="E97" s="948">
        <f>IF(AND(C97&lt;&gt;"",C97&lt;&gt;"NA",C96&lt;&gt;"NA",C96&lt;&gt;""),"ERROR",IF(AND(C97&lt;&gt;"",C97&lt;&gt;"NA",C95&lt;&gt;"",C95&lt;&gt;"NA"),"ERROR",UETable!AV18))</f>
        <v>0</v>
      </c>
      <c r="F97" s="948"/>
      <c r="G97" s="946" t="str">
        <f>IF(AND(C97&lt;&gt;"",C97&lt;&gt;"NA",C96&lt;&gt;"NA",C96&lt;&gt;""),"ERROR: Cannot rate ROM and ankylosis.",IF(AND(C97&lt;&gt;"",C97&lt;&gt;"NA",C95&lt;&gt;"",C95&lt;&gt;"NA"),"ERROR: Cannot rate ROM and ankylosis.",""))</f>
        <v/>
      </c>
      <c r="H97" s="946"/>
      <c r="I97" s="946"/>
      <c r="J97" s="946"/>
      <c r="K97" s="946"/>
      <c r="L97" s="946"/>
      <c r="M97" s="946"/>
      <c r="N97" s="946"/>
      <c r="O97" s="946"/>
      <c r="P97" s="77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3">
      <c r="B98" s="993"/>
      <c r="C98" s="994"/>
      <c r="D98" s="994"/>
      <c r="E98" s="994"/>
      <c r="F98" s="994"/>
      <c r="G98" s="994"/>
      <c r="H98" s="994"/>
      <c r="I98" s="994"/>
      <c r="J98" s="995"/>
      <c r="K98" s="958" t="s">
        <v>1841</v>
      </c>
      <c r="L98" s="958"/>
      <c r="M98" s="958"/>
      <c r="N98" s="958"/>
      <c r="O98" s="65">
        <f>IF(E97="ERROR","ERROR",IF(R98&gt;1,1,R98))</f>
        <v>0</v>
      </c>
      <c r="P98" s="77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3">
      <c r="B99" s="146" t="s">
        <v>1577</v>
      </c>
      <c r="C99" s="708"/>
      <c r="D99" s="708"/>
      <c r="E99" s="948">
        <f>UETable!AV20</f>
        <v>0</v>
      </c>
      <c r="F99" s="948"/>
      <c r="G99" s="708"/>
      <c r="H99" s="708"/>
      <c r="I99" s="929">
        <f>IF(C99="",0,IF(OR(C99&lt;=0,G99&lt;=0),E99,IF(G99&lt;C99,0,UETable!BA20)))</f>
        <v>0</v>
      </c>
      <c r="J99" s="929"/>
      <c r="K99" s="946" t="str">
        <f>IF(OR(C99="NA",G99="NA"),"",IF(AND(C99&lt;&gt;"",G99=""),"Enter contralateral or NA.",IF(AND(C99="",G99&lt;&gt;""),"Need data","")))</f>
        <v/>
      </c>
      <c r="L99" s="946"/>
      <c r="M99" s="946"/>
      <c r="N99" s="946"/>
      <c r="O99" s="946"/>
      <c r="P99" s="770"/>
      <c r="R99" s="10"/>
      <c r="S99" s="50">
        <v>90</v>
      </c>
      <c r="T99" s="50" t="str">
        <f>IF(OR(C99="",C99="NA"),"",IF(C99&gt;S99,S99,IF(C99&lt;0,0,C99)))</f>
        <v/>
      </c>
      <c r="U99" s="50" t="str">
        <f>IF(OR(G99="",G99="NA"),"",IF(G99&gt;S99,S99,IF(G99&lt;0,0,G99)))</f>
        <v/>
      </c>
      <c r="V99" s="562" t="str">
        <f>IF(Y99="","",ROUND(Y99,0))</f>
        <v/>
      </c>
      <c r="W99" s="806" t="s">
        <v>1202</v>
      </c>
      <c r="X99" s="806"/>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3">
      <c r="B100" s="146" t="s">
        <v>1578</v>
      </c>
      <c r="C100" s="708"/>
      <c r="D100" s="708"/>
      <c r="E100" s="948">
        <f>UETable!AV21</f>
        <v>0</v>
      </c>
      <c r="F100" s="948"/>
      <c r="G100" s="708"/>
      <c r="H100" s="708"/>
      <c r="I100" s="929">
        <f>IF(C100="",0,IF(OR(C100&gt;=90,G100&gt;=90),E100,IF(G100&gt;C100,0,UETable!BA21)))</f>
        <v>0</v>
      </c>
      <c r="J100" s="929"/>
      <c r="K100" s="946" t="str">
        <f>IF(OR(C100="NA",G100="NA"),"",IF(AND(C100&lt;&gt;"",G100=""),"Enter contralateral or NA.",IF(AND(C100="",G100&lt;&gt;""),"Need data","")))</f>
        <v/>
      </c>
      <c r="L100" s="946"/>
      <c r="M100" s="946"/>
      <c r="N100" s="946"/>
      <c r="O100" s="946"/>
      <c r="P100" s="770"/>
      <c r="R100" s="10"/>
      <c r="S100" s="531">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3">
      <c r="B101" s="146" t="s">
        <v>643</v>
      </c>
      <c r="C101" s="708"/>
      <c r="D101" s="708"/>
      <c r="E101" s="948">
        <f>IF(AND(C101&lt;&gt;"",C101&lt;&gt;"NA",C100&lt;&gt;"NA",C100&lt;&gt;""),"ERROR",IF(AND(C101&lt;&gt;"",C101&lt;&gt;"NA",C99&lt;&gt;"",C99&lt;&gt;"NA"),"ERROR",UETable!AV22))</f>
        <v>0</v>
      </c>
      <c r="F101" s="948"/>
      <c r="G101" s="946" t="str">
        <f>IF(AND(C101&lt;&gt;"",C101&lt;&gt;"NA",C100&lt;&gt;"NA",C100&lt;&gt;""),"ERROR: Cannot rate ROM and ankylosis.",IF(AND(C101&lt;&gt;"",C101&lt;&gt;"NA",C99&lt;&gt;"",C99&lt;&gt;"NA"),"ERROR: Cannot rate ROM and ankylosis.",""))</f>
        <v/>
      </c>
      <c r="H101" s="946"/>
      <c r="I101" s="946"/>
      <c r="J101" s="946"/>
      <c r="K101" s="946"/>
      <c r="L101" s="946"/>
      <c r="M101" s="946"/>
      <c r="N101" s="946"/>
      <c r="O101" s="946"/>
      <c r="P101" s="770"/>
      <c r="R101" s="50">
        <f>IF(OR(O94="ERROR",O98="ERROR",O102="ERROR"),1,0)</f>
        <v>0</v>
      </c>
      <c r="S101" s="50">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3">
      <c r="B102" s="636"/>
      <c r="C102" s="637"/>
      <c r="D102" s="637"/>
      <c r="E102" s="998" t="str">
        <f>IF(AND(OR(E93&gt;0,E97&gt;0,E101&gt;0),C103&gt;0),"Note: Ankylosis is not apportioned.","")</f>
        <v/>
      </c>
      <c r="F102" s="999"/>
      <c r="G102" s="999"/>
      <c r="H102" s="999"/>
      <c r="I102" s="1000"/>
      <c r="J102" s="958" t="s">
        <v>1841</v>
      </c>
      <c r="K102" s="958"/>
      <c r="L102" s="958"/>
      <c r="M102" s="958"/>
      <c r="N102" s="958"/>
      <c r="O102" s="65">
        <f>IF(E101="ERROR","ERROR",IF(R102&gt;1,1,R102))</f>
        <v>0</v>
      </c>
      <c r="P102" s="770"/>
      <c r="R102" s="194">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3">
      <c r="B103" s="13" t="s">
        <v>2255</v>
      </c>
      <c r="C103" s="935"/>
      <c r="D103" s="960"/>
      <c r="E103" s="975"/>
      <c r="F103" s="976"/>
      <c r="G103" s="976"/>
      <c r="H103" s="976"/>
      <c r="I103" s="977"/>
      <c r="J103" s="958" t="s">
        <v>687</v>
      </c>
      <c r="K103" s="958"/>
      <c r="L103" s="958"/>
      <c r="M103" s="958"/>
      <c r="N103" s="958"/>
      <c r="O103" s="958"/>
      <c r="P103" s="77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3">
      <c r="B104" s="792"/>
      <c r="C104" s="792"/>
      <c r="D104" s="792"/>
      <c r="E104" s="792"/>
      <c r="F104" s="792"/>
      <c r="G104" s="792"/>
      <c r="H104" s="792"/>
      <c r="I104" s="792"/>
      <c r="J104" s="792"/>
      <c r="K104" s="792"/>
      <c r="L104" s="792"/>
      <c r="M104" s="792"/>
      <c r="N104" s="792"/>
      <c r="O104" s="792"/>
      <c r="P104" s="792"/>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3">
      <c r="B105" s="792"/>
      <c r="C105" s="792"/>
      <c r="D105" s="792"/>
      <c r="E105" s="792"/>
      <c r="F105" s="792"/>
      <c r="G105" s="792"/>
      <c r="H105" s="792"/>
      <c r="I105" s="792"/>
      <c r="J105" s="792"/>
      <c r="K105" s="792"/>
      <c r="L105" s="792"/>
      <c r="M105" s="792"/>
      <c r="N105" s="792"/>
      <c r="O105" s="792"/>
      <c r="R105" s="10"/>
      <c r="S105" s="878" t="s">
        <v>2196</v>
      </c>
      <c r="T105" s="878"/>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3">
      <c r="A106" s="15"/>
      <c r="B106" s="964" t="s">
        <v>967</v>
      </c>
      <c r="C106" s="965"/>
      <c r="D106" s="934"/>
      <c r="E106" s="934"/>
      <c r="F106" s="971" t="s">
        <v>1228</v>
      </c>
      <c r="G106" s="971"/>
      <c r="H106" s="971"/>
      <c r="I106" s="971"/>
      <c r="J106" s="971"/>
      <c r="K106" s="971"/>
      <c r="L106" s="971"/>
      <c r="M106" s="971"/>
      <c r="N106" s="971"/>
      <c r="O106" s="971"/>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3">
      <c r="B107" s="966"/>
      <c r="C107" s="967"/>
      <c r="D107" s="934"/>
      <c r="E107" s="934"/>
      <c r="F107" s="971" t="s">
        <v>1230</v>
      </c>
      <c r="G107" s="971"/>
      <c r="H107" s="971"/>
      <c r="I107" s="971"/>
      <c r="J107" s="971"/>
      <c r="K107" s="971"/>
      <c r="L107" s="971"/>
      <c r="M107" s="971"/>
      <c r="N107" s="971"/>
      <c r="O107" s="971"/>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3">
      <c r="B108" s="966"/>
      <c r="C108" s="967"/>
      <c r="D108" s="934"/>
      <c r="E108" s="934"/>
      <c r="F108" s="971" t="s">
        <v>1229</v>
      </c>
      <c r="G108" s="971"/>
      <c r="H108" s="971"/>
      <c r="I108" s="971"/>
      <c r="J108" s="971"/>
      <c r="K108" s="971"/>
      <c r="L108" s="971"/>
      <c r="M108" s="971"/>
      <c r="N108" s="971"/>
      <c r="O108" s="971"/>
      <c r="P108" s="82">
        <f>IF(T108=1,0.1,0)</f>
        <v>0</v>
      </c>
      <c r="R108" s="10"/>
      <c r="S108" s="555"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3">
      <c r="B109" s="968"/>
      <c r="C109" s="969"/>
      <c r="D109" s="934"/>
      <c r="E109" s="934"/>
      <c r="F109" s="971" t="s">
        <v>1231</v>
      </c>
      <c r="G109" s="971"/>
      <c r="H109" s="971"/>
      <c r="I109" s="971"/>
      <c r="J109" s="971"/>
      <c r="K109" s="971"/>
      <c r="L109" s="971"/>
      <c r="M109" s="971"/>
      <c r="N109" s="971"/>
      <c r="O109" s="971"/>
      <c r="P109" s="82">
        <f>IF(T109=1,0.1,0)</f>
        <v>0</v>
      </c>
      <c r="R109" s="10"/>
      <c r="S109" s="555"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3">
      <c r="B110" s="792"/>
      <c r="C110" s="792"/>
      <c r="D110" s="792"/>
      <c r="E110" s="792"/>
      <c r="F110" s="792"/>
      <c r="G110" s="792"/>
      <c r="H110" s="792"/>
      <c r="I110" s="792"/>
      <c r="J110" s="792"/>
      <c r="K110" s="792"/>
      <c r="L110" s="792"/>
      <c r="M110" s="792"/>
      <c r="N110" s="792"/>
      <c r="O110" s="792"/>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3">
      <c r="B111" s="485"/>
      <c r="C111" s="1012" t="s">
        <v>248</v>
      </c>
      <c r="D111" s="983"/>
      <c r="E111" s="982" t="s">
        <v>249</v>
      </c>
      <c r="F111" s="983"/>
      <c r="G111" s="355"/>
      <c r="H111" s="357"/>
      <c r="I111" s="1011" t="s">
        <v>250</v>
      </c>
      <c r="J111" s="983"/>
      <c r="K111" s="477"/>
      <c r="L111" s="357"/>
      <c r="M111" s="982" t="s">
        <v>249</v>
      </c>
      <c r="N111" s="983"/>
      <c r="O111" s="356"/>
      <c r="P111" s="492"/>
      <c r="Z111" s="482"/>
      <c r="AE111" s="481"/>
      <c r="AF111" s="481"/>
      <c r="AG111" s="481"/>
      <c r="AH111" s="481"/>
      <c r="AI111" s="481"/>
      <c r="AJ111" s="481"/>
      <c r="AK111" s="481"/>
      <c r="AL111" s="481"/>
      <c r="AM111" s="481"/>
      <c r="AN111" s="481"/>
    </row>
    <row r="112" spans="1:109" ht="12" customHeight="1" x14ac:dyDescent="0.3">
      <c r="B112" s="486"/>
      <c r="C112" s="970" t="s">
        <v>251</v>
      </c>
      <c r="D112" s="963"/>
      <c r="E112" s="970" t="s">
        <v>252</v>
      </c>
      <c r="F112" s="963"/>
      <c r="G112" s="970" t="s">
        <v>253</v>
      </c>
      <c r="H112" s="963"/>
      <c r="I112" s="962" t="s">
        <v>254</v>
      </c>
      <c r="J112" s="963"/>
      <c r="K112" s="970" t="s">
        <v>255</v>
      </c>
      <c r="L112" s="963"/>
      <c r="M112" s="970" t="s">
        <v>256</v>
      </c>
      <c r="N112" s="963"/>
      <c r="P112" s="493"/>
      <c r="Z112" s="332"/>
      <c r="AE112" s="481"/>
      <c r="AF112" s="481"/>
      <c r="AG112" s="481"/>
      <c r="AH112" s="481"/>
      <c r="AI112" s="481"/>
      <c r="AJ112" s="481"/>
      <c r="AK112" s="481"/>
      <c r="AL112" s="481"/>
      <c r="AM112" s="481"/>
      <c r="AN112" s="481"/>
    </row>
    <row r="113" spans="2:109" ht="12" customHeight="1" x14ac:dyDescent="0.3">
      <c r="B113" s="486"/>
      <c r="C113" s="943" t="s">
        <v>257</v>
      </c>
      <c r="D113" s="944"/>
      <c r="E113" s="943" t="s">
        <v>258</v>
      </c>
      <c r="F113" s="944"/>
      <c r="G113" s="943" t="s">
        <v>259</v>
      </c>
      <c r="H113" s="944"/>
      <c r="I113" s="1013" t="s">
        <v>260</v>
      </c>
      <c r="J113" s="944"/>
      <c r="K113" s="943" t="s">
        <v>259</v>
      </c>
      <c r="L113" s="944"/>
      <c r="M113" s="943" t="s">
        <v>258</v>
      </c>
      <c r="N113" s="944"/>
      <c r="P113" s="493"/>
      <c r="AH113" s="234">
        <v>1</v>
      </c>
      <c r="AI113" s="234">
        <v>2</v>
      </c>
      <c r="AJ113" s="234">
        <v>3</v>
      </c>
      <c r="AK113" s="234">
        <v>4</v>
      </c>
      <c r="AM113" s="481"/>
      <c r="AN113" s="481"/>
      <c r="AO113" s="481"/>
      <c r="AP113" s="481"/>
      <c r="AQ113" s="481"/>
      <c r="AR113" s="481"/>
      <c r="AS113" s="481"/>
      <c r="AT113" s="481"/>
      <c r="AU113" s="481"/>
      <c r="AV113" s="481"/>
    </row>
    <row r="114" spans="2:109" ht="12" customHeight="1" x14ac:dyDescent="0.3">
      <c r="B114" s="548" t="s">
        <v>1985</v>
      </c>
      <c r="C114" s="1001" t="s">
        <v>261</v>
      </c>
      <c r="D114" s="1002"/>
      <c r="E114" s="1001" t="s">
        <v>261</v>
      </c>
      <c r="F114" s="1002"/>
      <c r="G114" s="1001" t="s">
        <v>261</v>
      </c>
      <c r="H114" s="1002"/>
      <c r="I114" s="1001" t="s">
        <v>261</v>
      </c>
      <c r="J114" s="1002"/>
      <c r="K114" s="1001" t="s">
        <v>261</v>
      </c>
      <c r="L114" s="1002"/>
      <c r="M114" s="1001" t="s">
        <v>261</v>
      </c>
      <c r="N114" s="1002"/>
      <c r="P114" s="493"/>
      <c r="S114" s="907" t="s">
        <v>2196</v>
      </c>
      <c r="T114" s="908"/>
      <c r="U114" s="908"/>
      <c r="V114" s="908"/>
      <c r="W114" s="908"/>
      <c r="X114" s="909"/>
      <c r="Y114" s="480"/>
      <c r="Z114" s="480"/>
      <c r="AA114" s="952" t="s">
        <v>2196</v>
      </c>
      <c r="AB114" s="953"/>
      <c r="AC114" s="953"/>
      <c r="AD114" s="953"/>
      <c r="AE114" s="953"/>
      <c r="AF114" s="954"/>
      <c r="AG114" s="480"/>
      <c r="AH114" s="910" t="s">
        <v>2196</v>
      </c>
      <c r="AI114" s="911"/>
      <c r="AJ114" s="911"/>
      <c r="AK114" s="911"/>
      <c r="AL114" s="911"/>
      <c r="AM114" s="912"/>
      <c r="AO114" s="907" t="s">
        <v>2196</v>
      </c>
      <c r="AP114" s="908"/>
      <c r="AQ114" s="908"/>
      <c r="AR114" s="908"/>
      <c r="AS114" s="909"/>
      <c r="AU114" s="907" t="s">
        <v>2196</v>
      </c>
      <c r="AV114" s="908"/>
      <c r="AW114" s="908"/>
      <c r="AX114" s="909"/>
      <c r="AZ114" s="907" t="s">
        <v>2196</v>
      </c>
      <c r="BA114" s="908"/>
      <c r="BB114" s="908"/>
      <c r="BC114" s="908"/>
      <c r="BD114" s="908"/>
      <c r="BE114" s="908"/>
      <c r="BF114" s="908"/>
      <c r="BG114" s="909"/>
      <c r="BI114" s="907" t="s">
        <v>2196</v>
      </c>
      <c r="BJ114" s="908"/>
      <c r="BK114" s="908"/>
      <c r="BL114" s="908"/>
      <c r="BM114" s="908"/>
      <c r="BN114" s="909"/>
    </row>
    <row r="115" spans="2:109" customFormat="1" ht="15" customHeight="1" x14ac:dyDescent="0.3">
      <c r="B115" s="146" t="s">
        <v>1605</v>
      </c>
      <c r="C115" s="945"/>
      <c r="D115" s="945"/>
      <c r="E115" s="945"/>
      <c r="F115" s="945"/>
      <c r="G115" s="945"/>
      <c r="H115" s="945"/>
      <c r="I115" s="945"/>
      <c r="J115" s="945"/>
      <c r="K115" s="945"/>
      <c r="L115" s="945"/>
      <c r="M115" s="945"/>
      <c r="N115" s="945"/>
      <c r="P115" s="494"/>
      <c r="S115" s="304">
        <f>IF(C115="",0,C115)</f>
        <v>0</v>
      </c>
      <c r="T115" s="304">
        <f>IF(E115&lt;&gt;"",E115,IF(S115&gt;0,S115,0))</f>
        <v>0</v>
      </c>
      <c r="U115" s="304">
        <f>IF(G115&lt;&gt;"",G115,IF(T115&gt;0,T115,0))</f>
        <v>0</v>
      </c>
      <c r="V115" s="304">
        <f>IF(I115&lt;&gt;"",I115,IF(U115&gt;0,U115,0))</f>
        <v>0</v>
      </c>
      <c r="W115" s="304">
        <f>IF(K115&lt;&gt;"",K115,IF(V115&gt;0,V115,0))</f>
        <v>0</v>
      </c>
      <c r="X115" s="304">
        <f>IF(M115&lt;&gt;"",M115,IF(W115&gt;0,W115,0))</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566">
        <f>IF(S115=1,0,IF(S115=2,0.17,IF(S115=3,0.25,IF(S115=4,0.33,0))))</f>
        <v>0</v>
      </c>
      <c r="BA115" s="566">
        <f>IF(T115=1,0,IF(T115=2,0.13,IF(T115=3,0.19,IF(T115=4,0.24,0))))</f>
        <v>0</v>
      </c>
      <c r="BB115" s="566">
        <f>IF(U115=1,0,IF(U115=2,0.08,IF(U115=3,0.12,IF(U115=4,0.15,0))))</f>
        <v>0</v>
      </c>
      <c r="BD115" s="566">
        <f>IF(S115=1,0,IF(S115=2,0.13,IF(S115=3,0.19,IF(S115=4,0.24,0))))</f>
        <v>0</v>
      </c>
      <c r="BE115" s="566">
        <f>IF(T115=1,0,IF(T115=2,0.08,IF(T115=3,0.12,IF(T115=4,0.15,0))))</f>
        <v>0</v>
      </c>
      <c r="BG115" s="566">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907" t="s">
        <v>2196</v>
      </c>
      <c r="BS115" s="908"/>
      <c r="BT115" s="908"/>
      <c r="BU115" s="908"/>
      <c r="BV115" s="908"/>
      <c r="BW115" s="908"/>
      <c r="BX115" s="908"/>
      <c r="BY115" s="908"/>
      <c r="BZ115" s="908"/>
      <c r="CA115" s="909"/>
    </row>
    <row r="116" spans="2:109" customFormat="1" ht="15" customHeight="1" x14ac:dyDescent="0.3">
      <c r="B116" s="304" t="s">
        <v>1608</v>
      </c>
      <c r="C116" s="945"/>
      <c r="D116" s="945"/>
      <c r="E116" s="945"/>
      <c r="F116" s="945"/>
      <c r="G116" s="945"/>
      <c r="H116" s="945"/>
      <c r="I116" s="945"/>
      <c r="J116" s="945"/>
      <c r="K116" s="945"/>
      <c r="L116" s="945"/>
      <c r="M116" s="945"/>
      <c r="N116" s="945"/>
      <c r="P116" s="500"/>
      <c r="S116" s="304">
        <f>IF(C116="",0,C116)</f>
        <v>0</v>
      </c>
      <c r="T116" s="304">
        <f>IF(E116&lt;&gt;"",E116,IF(S116&gt;0,S116,0))</f>
        <v>0</v>
      </c>
      <c r="U116" s="304">
        <f>IF(G116&lt;&gt;"",G116,IF(T116&gt;0,T116,0))</f>
        <v>0</v>
      </c>
      <c r="V116" s="304">
        <f>IF(I116&lt;&gt;"",I116,IF(U116&gt;0,U116,0))</f>
        <v>0</v>
      </c>
      <c r="W116" s="304">
        <f>IF(K116&lt;&gt;"",K116,IF(V116&gt;0,V116,0))</f>
        <v>0</v>
      </c>
      <c r="X116" s="304">
        <f>IF(M116&lt;&gt;"",M116,IF(W116&gt;0,W116,0))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109" customFormat="1" ht="15" customHeight="1" x14ac:dyDescent="0.3">
      <c r="B117" s="487" t="s">
        <v>1611</v>
      </c>
      <c r="C117" s="945"/>
      <c r="D117" s="945"/>
      <c r="E117" s="945"/>
      <c r="F117" s="945"/>
      <c r="G117" s="945"/>
      <c r="H117" s="945"/>
      <c r="I117" s="945"/>
      <c r="J117" s="945"/>
      <c r="K117" s="945"/>
      <c r="L117" s="945"/>
      <c r="M117" s="945"/>
      <c r="N117" s="945"/>
      <c r="P117" s="500"/>
      <c r="S117" s="304">
        <f>IF(C117="",0,C117)</f>
        <v>0</v>
      </c>
      <c r="T117" s="304">
        <f>IF(E117&lt;&gt;"",E117,IF(S117&gt;0,S117,0))</f>
        <v>0</v>
      </c>
      <c r="U117" s="304">
        <f>IF(G117&lt;&gt;"",G117,IF(T117&gt;0,T117,0))</f>
        <v>0</v>
      </c>
      <c r="V117" s="304">
        <f>IF(I117&lt;&gt;"",I117,IF(U117&gt;0,U117,0))</f>
        <v>0</v>
      </c>
      <c r="W117" s="304">
        <f>IF(K117&lt;&gt;"",K117,IF(V117&gt;0,V117,0))</f>
        <v>0</v>
      </c>
      <c r="X117" s="304">
        <f>IF(M117&lt;&gt;"",M117,IF(W117&gt;0,W117,0))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109" customFormat="1" ht="15" customHeight="1" x14ac:dyDescent="0.3">
      <c r="B118" s="978" t="str">
        <f>IF(AD118=1,"ERROR: If radial or ulnar impairment is recorded, do not enter losses for 'both sides.'","")</f>
        <v/>
      </c>
      <c r="C118" s="979"/>
      <c r="D118" s="979"/>
      <c r="E118" s="979"/>
      <c r="F118" s="979"/>
      <c r="G118" s="979"/>
      <c r="H118" s="979"/>
      <c r="I118" s="979"/>
      <c r="J118" s="979"/>
      <c r="K118" s="979"/>
      <c r="L118" s="979"/>
      <c r="M118" s="979"/>
      <c r="N118" s="979"/>
      <c r="O118" s="980"/>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304"/>
      <c r="AF118" s="304"/>
    </row>
    <row r="119" spans="2:109" customFormat="1" ht="15" customHeight="1" x14ac:dyDescent="0.3">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109" customFormat="1" ht="15" customHeight="1" x14ac:dyDescent="0.3">
      <c r="B120" s="146" t="s">
        <v>1605</v>
      </c>
      <c r="C120" s="945"/>
      <c r="D120" s="945"/>
      <c r="E120" s="945"/>
      <c r="F120" s="945"/>
      <c r="G120" s="945"/>
      <c r="H120" s="945"/>
      <c r="I120" s="945"/>
      <c r="J120" s="945"/>
      <c r="K120" s="945"/>
      <c r="L120" s="945"/>
      <c r="M120" s="945"/>
      <c r="N120" s="945"/>
      <c r="P120" s="494"/>
      <c r="S120" s="304">
        <f>IF(C120="",0,C120)</f>
        <v>0</v>
      </c>
      <c r="T120" s="304">
        <f>IF(E120&lt;&gt;"",E120,IF(S120&gt;0,S120,0))</f>
        <v>0</v>
      </c>
      <c r="U120" s="304">
        <f>IF(G120&lt;&gt;"",G120,IF(T120&gt;0,T120,0))</f>
        <v>0</v>
      </c>
      <c r="V120" s="304">
        <f>IF(I120&lt;&gt;"",I120,IF(U120&gt;0,U120,0))</f>
        <v>0</v>
      </c>
      <c r="W120" s="304">
        <f>IF(K120&lt;&gt;"",K120,IF(V120&gt;0,V120,0))</f>
        <v>0</v>
      </c>
      <c r="X120" s="304">
        <f>IF(M120&lt;&gt;"",M120,IF(W120&gt;0,W120,0))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109" customFormat="1" ht="15" customHeight="1" x14ac:dyDescent="0.3">
      <c r="B121" s="304" t="s">
        <v>1608</v>
      </c>
      <c r="C121" s="945"/>
      <c r="D121" s="945"/>
      <c r="E121" s="945"/>
      <c r="F121" s="945"/>
      <c r="G121" s="945"/>
      <c r="H121" s="945"/>
      <c r="I121" s="945"/>
      <c r="J121" s="945"/>
      <c r="K121" s="945"/>
      <c r="L121" s="945"/>
      <c r="M121" s="945"/>
      <c r="N121" s="945"/>
      <c r="P121" s="500"/>
      <c r="S121" s="304">
        <f>IF(C121="",0,C121)</f>
        <v>0</v>
      </c>
      <c r="T121" s="304">
        <f>IF(E121&lt;&gt;"",E121,IF(S121&gt;0,S121,0))</f>
        <v>0</v>
      </c>
      <c r="U121" s="304">
        <f>IF(G121&lt;&gt;"",G121,IF(T121&gt;0,T121,0))</f>
        <v>0</v>
      </c>
      <c r="V121" s="304">
        <f>IF(I121&lt;&gt;"",I121,IF(U121&gt;0,U121,0))</f>
        <v>0</v>
      </c>
      <c r="W121" s="304">
        <f>IF(K121&lt;&gt;"",K121,IF(V121&gt;0,V121,0))</f>
        <v>0</v>
      </c>
      <c r="X121" s="304">
        <f>IF(M121&lt;&gt;"",M121,IF(W121&gt;0,W121,0))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109" customFormat="1" ht="15" customHeight="1" x14ac:dyDescent="0.3">
      <c r="B122" s="487" t="s">
        <v>1611</v>
      </c>
      <c r="C122" s="945"/>
      <c r="D122" s="945"/>
      <c r="E122" s="945"/>
      <c r="F122" s="945"/>
      <c r="G122" s="945"/>
      <c r="H122" s="945"/>
      <c r="I122" s="945"/>
      <c r="J122" s="945"/>
      <c r="K122" s="945"/>
      <c r="L122" s="945"/>
      <c r="M122" s="945"/>
      <c r="N122" s="945"/>
      <c r="P122" s="500"/>
      <c r="S122" s="304">
        <f>IF(C122="",0,C122)</f>
        <v>0</v>
      </c>
      <c r="T122" s="304">
        <f>IF(E122&lt;&gt;"",E122,IF(S122&gt;0,S122,0))</f>
        <v>0</v>
      </c>
      <c r="U122" s="304">
        <f>IF(G122&lt;&gt;"",G122,IF(T122&gt;0,T122,0))</f>
        <v>0</v>
      </c>
      <c r="V122" s="304">
        <f>IF(I122&lt;&gt;"",I122,IF(U122&gt;0,U122,0))</f>
        <v>0</v>
      </c>
      <c r="W122" s="304">
        <f>IF(K122&lt;&gt;"",K122,IF(V122&gt;0,V122,0))</f>
        <v>0</v>
      </c>
      <c r="X122" s="304">
        <f>IF(M122&lt;&gt;"",M122,IF(W122&gt;0,W122,0))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109" customFormat="1" ht="15" customHeight="1" x14ac:dyDescent="0.3">
      <c r="B123" s="978" t="str">
        <f>IF(AD123=1,"ERROR: If radial or ulnar impairment is recorded, do not enter losses for 'both sides.'","")</f>
        <v/>
      </c>
      <c r="C123" s="979"/>
      <c r="D123" s="979"/>
      <c r="E123" s="979"/>
      <c r="F123" s="979"/>
      <c r="G123" s="979"/>
      <c r="H123" s="979"/>
      <c r="I123" s="979"/>
      <c r="J123" s="979"/>
      <c r="K123" s="979"/>
      <c r="L123" s="979"/>
      <c r="M123" s="979"/>
      <c r="N123" s="979"/>
      <c r="O123" s="980"/>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109" ht="12" customHeight="1" x14ac:dyDescent="0.3">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3">
      <c r="B125" s="50" t="s">
        <v>1232</v>
      </c>
      <c r="C125" s="925" t="s">
        <v>1370</v>
      </c>
      <c r="D125" s="925"/>
      <c r="E125" s="925"/>
      <c r="F125" s="925"/>
      <c r="G125" s="925"/>
      <c r="H125" s="925" t="s">
        <v>1795</v>
      </c>
      <c r="I125" s="925"/>
      <c r="J125" s="925"/>
      <c r="K125" s="18"/>
      <c r="L125" s="925" t="s">
        <v>1233</v>
      </c>
      <c r="M125" s="925"/>
      <c r="N125" s="925"/>
      <c r="O125" s="925"/>
      <c r="P125" s="770">
        <f>V127</f>
        <v>0</v>
      </c>
      <c r="R125" s="10"/>
      <c r="S125" s="569" t="s">
        <v>1596</v>
      </c>
      <c r="T125" s="569" t="s">
        <v>1304</v>
      </c>
      <c r="U125" s="569" t="s">
        <v>1305</v>
      </c>
      <c r="V125" s="568" t="s">
        <v>1306</v>
      </c>
      <c r="W125" s="957" t="s">
        <v>2196</v>
      </c>
      <c r="X125" s="957"/>
      <c r="Y125" s="957"/>
      <c r="Z125" s="957"/>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3">
      <c r="B126" s="146" t="s">
        <v>1652</v>
      </c>
      <c r="C126" s="933"/>
      <c r="D126" s="933"/>
      <c r="E126" s="933"/>
      <c r="F126" s="933"/>
      <c r="G126" s="933"/>
      <c r="H126" s="936">
        <f>IF(C126=$X$127,0.09,IF(C126=$Y$127,0.18,IF(C126=$Z$127,0.27,0)))</f>
        <v>0</v>
      </c>
      <c r="I126" s="936"/>
      <c r="J126" s="936"/>
      <c r="K126" s="146"/>
      <c r="L126" s="933"/>
      <c r="M126" s="933"/>
      <c r="N126" s="933"/>
      <c r="O126" s="21">
        <f>IF(H126&gt;=S126,H126-S126,0)</f>
        <v>0</v>
      </c>
      <c r="P126" s="770"/>
      <c r="R126" s="10"/>
      <c r="S126" s="147">
        <f>IF(L126=$Y$128,0.09,IF(L126=$Z$128,0.18,IF(L126=$AA$128,0.27,0)))</f>
        <v>0</v>
      </c>
      <c r="T126" s="147">
        <f>LARGE(O126:O128,1)</f>
        <v>0</v>
      </c>
      <c r="U126" s="553">
        <f>T126+T127*(1-T126)</f>
        <v>0</v>
      </c>
      <c r="V126" s="553">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3">
      <c r="B127" s="50" t="s">
        <v>571</v>
      </c>
      <c r="C127" s="933"/>
      <c r="D127" s="933"/>
      <c r="E127" s="933"/>
      <c r="F127" s="933"/>
      <c r="G127" s="933"/>
      <c r="H127" s="936">
        <f>IF(C127=$X$127,0.16,IF(C127=$Y$127,0.32,IF(C127=$Z$127,0.48,0)))</f>
        <v>0</v>
      </c>
      <c r="I127" s="936"/>
      <c r="J127" s="936"/>
      <c r="K127" s="146"/>
      <c r="L127" s="933"/>
      <c r="M127" s="933"/>
      <c r="N127" s="933"/>
      <c r="O127" s="21">
        <f>IF(H127&gt;=S127,H127-S127,0)</f>
        <v>0</v>
      </c>
      <c r="P127" s="77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3">
      <c r="B128" s="50" t="s">
        <v>572</v>
      </c>
      <c r="C128" s="933"/>
      <c r="D128" s="933"/>
      <c r="E128" s="933"/>
      <c r="F128" s="933"/>
      <c r="G128" s="933"/>
      <c r="H128" s="936">
        <f>IF(C128=$X$127,0.2,IF(C128=$Y$127,0.4,IF(C128=$Z$127,0.6,0)))</f>
        <v>0</v>
      </c>
      <c r="I128" s="936"/>
      <c r="J128" s="936"/>
      <c r="K128" s="146"/>
      <c r="L128" s="933"/>
      <c r="M128" s="933"/>
      <c r="N128" s="933"/>
      <c r="O128" s="21">
        <f>IF(H128&gt;=S128,H128-S128,0)</f>
        <v>0</v>
      </c>
      <c r="P128" s="77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3">
      <c r="B129" s="961"/>
      <c r="C129" s="961"/>
      <c r="D129" s="961"/>
      <c r="E129" s="961"/>
      <c r="F129" s="961"/>
      <c r="G129" s="961"/>
      <c r="H129" s="961"/>
      <c r="I129" s="961"/>
      <c r="J129" s="961"/>
      <c r="K129" s="961"/>
      <c r="L129" s="961"/>
      <c r="M129" s="961"/>
      <c r="N129" s="961"/>
      <c r="O129" s="961"/>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3">
      <c r="A130" s="15"/>
      <c r="B130" s="776" t="s">
        <v>968</v>
      </c>
      <c r="C130" s="930"/>
      <c r="D130" s="931"/>
      <c r="E130" s="757" t="s">
        <v>573</v>
      </c>
      <c r="F130" s="758"/>
      <c r="G130" s="758"/>
      <c r="H130" s="758"/>
      <c r="I130" s="758"/>
      <c r="J130" s="758"/>
      <c r="K130" s="758"/>
      <c r="L130" s="758"/>
      <c r="M130" s="758"/>
      <c r="N130" s="758"/>
      <c r="O130" s="759"/>
      <c r="P130" s="248">
        <f>IF(T130=1,0.15,0)</f>
        <v>0</v>
      </c>
      <c r="R130" s="947"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3">
      <c r="B131" s="776"/>
      <c r="C131" s="930"/>
      <c r="D131" s="931"/>
      <c r="E131" s="757" t="s">
        <v>574</v>
      </c>
      <c r="F131" s="758"/>
      <c r="G131" s="758"/>
      <c r="H131" s="758"/>
      <c r="I131" s="758"/>
      <c r="J131" s="758"/>
      <c r="K131" s="758"/>
      <c r="L131" s="758"/>
      <c r="M131" s="758"/>
      <c r="N131" s="758"/>
      <c r="O131" s="759"/>
      <c r="P131" s="248">
        <f>IF(T131=1,0.25,0)</f>
        <v>0</v>
      </c>
      <c r="R131" s="947"/>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3">
      <c r="B132" s="776"/>
      <c r="C132" s="930"/>
      <c r="D132" s="931"/>
      <c r="E132" s="757" t="s">
        <v>788</v>
      </c>
      <c r="F132" s="758"/>
      <c r="G132" s="758"/>
      <c r="H132" s="758"/>
      <c r="I132" s="758"/>
      <c r="J132" s="758"/>
      <c r="K132" s="758"/>
      <c r="L132" s="758"/>
      <c r="M132" s="758"/>
      <c r="N132" s="758"/>
      <c r="O132" s="759"/>
      <c r="P132" s="248">
        <f>IF(T132=1,0.23,0)</f>
        <v>0</v>
      </c>
      <c r="R132" s="947"/>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3">
      <c r="B133" s="792"/>
      <c r="C133" s="792"/>
      <c r="D133" s="792"/>
      <c r="E133" s="792"/>
      <c r="F133" s="792"/>
      <c r="G133" s="792"/>
      <c r="H133" s="792"/>
      <c r="I133" s="792"/>
      <c r="J133" s="792"/>
      <c r="K133" s="792"/>
      <c r="L133" s="792"/>
      <c r="M133" s="792"/>
      <c r="N133" s="792"/>
      <c r="O133" s="792"/>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3">
      <c r="B134" s="932" t="s">
        <v>380</v>
      </c>
      <c r="C134" s="932"/>
      <c r="D134" s="932"/>
      <c r="E134" s="932"/>
      <c r="F134" s="932"/>
      <c r="G134" s="932"/>
      <c r="H134" s="932"/>
      <c r="I134" s="932"/>
      <c r="J134" s="932"/>
      <c r="K134" s="932"/>
      <c r="L134" s="932"/>
      <c r="M134" s="932"/>
      <c r="N134" s="932"/>
      <c r="O134" s="317"/>
      <c r="P134" s="21">
        <f>SUMIF(T134:X134,O134,T135:X135)</f>
        <v>0</v>
      </c>
      <c r="R134" s="951" t="s">
        <v>2196</v>
      </c>
      <c r="S134" s="951"/>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3">
      <c r="B135" s="932" t="s">
        <v>1498</v>
      </c>
      <c r="C135" s="932"/>
      <c r="D135" s="932"/>
      <c r="E135" s="932"/>
      <c r="F135" s="932"/>
      <c r="G135" s="932"/>
      <c r="H135" s="932"/>
      <c r="I135" s="932"/>
      <c r="J135" s="932"/>
      <c r="K135" s="932"/>
      <c r="L135" s="932"/>
      <c r="M135" s="932"/>
      <c r="N135" s="932"/>
      <c r="O135" s="317"/>
      <c r="P135" s="21">
        <f>SUMIF(Z134:AD134,O135,Z135:AD135)</f>
        <v>0</v>
      </c>
      <c r="R135" s="951"/>
      <c r="S135" s="951"/>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3">
      <c r="B136" s="792"/>
      <c r="C136" s="792"/>
      <c r="D136" s="792"/>
      <c r="E136" s="792"/>
      <c r="F136" s="792"/>
      <c r="G136" s="792"/>
      <c r="H136" s="792"/>
      <c r="I136" s="792"/>
      <c r="J136" s="792"/>
      <c r="K136" s="792"/>
      <c r="L136" s="792"/>
      <c r="M136" s="792"/>
      <c r="N136" s="792"/>
      <c r="O136" s="792"/>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3">
      <c r="B137" s="879" t="s">
        <v>116</v>
      </c>
      <c r="C137" s="880"/>
      <c r="D137" s="880"/>
      <c r="E137" s="880"/>
      <c r="F137" s="881"/>
      <c r="G137" s="922" t="s">
        <v>1524</v>
      </c>
      <c r="H137" s="941"/>
      <c r="I137" s="941"/>
      <c r="J137" s="942"/>
      <c r="K137" s="1003"/>
      <c r="L137" s="1004"/>
      <c r="M137" s="1004"/>
      <c r="N137" s="1004"/>
      <c r="O137" s="1005"/>
      <c r="P137" s="872">
        <f>U151</f>
        <v>0</v>
      </c>
      <c r="R137" s="146" t="s">
        <v>1864</v>
      </c>
      <c r="S137" s="50" t="s">
        <v>1304</v>
      </c>
      <c r="T137" s="50" t="s">
        <v>1305</v>
      </c>
      <c r="U137" s="50" t="s">
        <v>1306</v>
      </c>
      <c r="V137" s="940" t="s">
        <v>801</v>
      </c>
      <c r="W137" s="941"/>
      <c r="X137" s="942"/>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3">
      <c r="B138" s="937" t="s">
        <v>628</v>
      </c>
      <c r="C138" s="938"/>
      <c r="D138" s="939"/>
      <c r="E138" s="1090">
        <f>P81</f>
        <v>0</v>
      </c>
      <c r="F138" s="1092"/>
      <c r="G138" s="925" t="s">
        <v>1941</v>
      </c>
      <c r="H138" s="925"/>
      <c r="I138" s="949"/>
      <c r="J138" s="949"/>
      <c r="K138" s="1006"/>
      <c r="L138" s="1007"/>
      <c r="M138" s="1007"/>
      <c r="N138" s="1007"/>
      <c r="O138" s="1008"/>
      <c r="P138" s="1010"/>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3">
      <c r="B139" s="757" t="s">
        <v>382</v>
      </c>
      <c r="C139" s="758"/>
      <c r="D139" s="759"/>
      <c r="E139" s="770">
        <f>P84</f>
        <v>0</v>
      </c>
      <c r="F139" s="742"/>
      <c r="G139" s="925" t="s">
        <v>1941</v>
      </c>
      <c r="H139" s="925"/>
      <c r="I139" s="949"/>
      <c r="J139" s="949"/>
      <c r="K139" s="1006"/>
      <c r="L139" s="1007"/>
      <c r="M139" s="1007"/>
      <c r="N139" s="1007"/>
      <c r="O139" s="1008"/>
      <c r="P139" s="1010"/>
      <c r="R139" s="557">
        <f>E139</f>
        <v>0</v>
      </c>
      <c r="S139" s="147">
        <f>LARGE($R$138:$R$152,2)</f>
        <v>0</v>
      </c>
      <c r="T139" s="553">
        <f>U138+S140*(1-U138)</f>
        <v>0</v>
      </c>
      <c r="U139" s="557">
        <f t="shared" si="15"/>
        <v>0</v>
      </c>
      <c r="V139" s="50">
        <f>IF(E139&gt;0,2,0)</f>
        <v>0</v>
      </c>
      <c r="W139" s="50">
        <f>COUNTIF(V138:V152,2)</f>
        <v>0</v>
      </c>
      <c r="X139" s="10"/>
      <c r="Y139" s="10" t="s">
        <v>511</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3">
      <c r="B140" s="757" t="s">
        <v>1958</v>
      </c>
      <c r="C140" s="758"/>
      <c r="D140" s="759"/>
      <c r="E140" s="770">
        <f>IF(E607&gt;0,0,P88)</f>
        <v>0</v>
      </c>
      <c r="F140" s="742"/>
      <c r="G140" s="1095" t="s">
        <v>2256</v>
      </c>
      <c r="H140" s="1095"/>
      <c r="I140" s="949"/>
      <c r="J140" s="949"/>
      <c r="K140" s="1006"/>
      <c r="L140" s="1007"/>
      <c r="M140" s="1007"/>
      <c r="N140" s="1007"/>
      <c r="O140" s="1008"/>
      <c r="P140" s="1010"/>
      <c r="R140" s="557">
        <f t="shared" ref="R140:R147" si="16">IF(I140&gt;0,I140,E140)</f>
        <v>0</v>
      </c>
      <c r="S140" s="147">
        <f>LARGE($R$138:$R$152,3)</f>
        <v>0</v>
      </c>
      <c r="T140" s="553">
        <f>U139+S141*(1-U139)</f>
        <v>0</v>
      </c>
      <c r="U140" s="557">
        <f t="shared" si="15"/>
        <v>0</v>
      </c>
      <c r="V140" s="50">
        <f t="shared" ref="V140:V152" si="17">IF(E140&gt;0,1,0)</f>
        <v>0</v>
      </c>
      <c r="W140" s="10"/>
      <c r="X140" s="10"/>
      <c r="Y140" s="10"/>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3">
      <c r="B141" s="806" t="s">
        <v>1416</v>
      </c>
      <c r="C141" s="806"/>
      <c r="D141" s="806"/>
      <c r="E141" s="742">
        <f>P106</f>
        <v>0</v>
      </c>
      <c r="F141" s="743"/>
      <c r="G141" s="935"/>
      <c r="H141" s="935"/>
      <c r="I141" s="936">
        <f t="shared" ref="I141:I147" si="18">IF(AND(Y141&lt;0.01,Y141&gt;0),0.01,ROUND(Y141,2))</f>
        <v>0</v>
      </c>
      <c r="J141" s="936"/>
      <c r="K141" s="1006"/>
      <c r="L141" s="1007"/>
      <c r="M141" s="1007"/>
      <c r="N141" s="1007"/>
      <c r="O141" s="1008"/>
      <c r="P141" s="1010"/>
      <c r="R141" s="557">
        <f t="shared" si="16"/>
        <v>0</v>
      </c>
      <c r="S141" s="147">
        <f>LARGE($R$138:$R$152,4)</f>
        <v>0</v>
      </c>
      <c r="T141" s="553">
        <f t="shared" ref="T141:T151" si="19">U140+S142*(1-U140)</f>
        <v>0</v>
      </c>
      <c r="U141" s="557">
        <f t="shared" si="15"/>
        <v>0</v>
      </c>
      <c r="V141" s="50">
        <f t="shared" si="17"/>
        <v>0</v>
      </c>
      <c r="W141" s="10"/>
      <c r="X141" s="10"/>
      <c r="Y141" s="294">
        <f>E141*G141</f>
        <v>0</v>
      </c>
      <c r="Z141" s="604"/>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3">
      <c r="B142" s="757" t="s">
        <v>1417</v>
      </c>
      <c r="C142" s="758"/>
      <c r="D142" s="759"/>
      <c r="E142" s="742">
        <f>P107</f>
        <v>0</v>
      </c>
      <c r="F142" s="743"/>
      <c r="G142" s="935"/>
      <c r="H142" s="935"/>
      <c r="I142" s="936">
        <f t="shared" si="18"/>
        <v>0</v>
      </c>
      <c r="J142" s="936"/>
      <c r="K142" s="1006"/>
      <c r="L142" s="1007"/>
      <c r="M142" s="1007"/>
      <c r="N142" s="1007"/>
      <c r="O142" s="1008"/>
      <c r="P142" s="1010"/>
      <c r="R142" s="557">
        <f t="shared" si="16"/>
        <v>0</v>
      </c>
      <c r="S142" s="147">
        <f>LARGE($R$138:$R$152,5)</f>
        <v>0</v>
      </c>
      <c r="T142" s="553">
        <f t="shared" si="19"/>
        <v>0</v>
      </c>
      <c r="U142" s="557">
        <f t="shared" si="15"/>
        <v>0</v>
      </c>
      <c r="V142" s="50">
        <f t="shared" si="17"/>
        <v>0</v>
      </c>
      <c r="W142" s="10"/>
      <c r="X142" s="10"/>
      <c r="Y142" s="294">
        <f t="shared" ref="Y142:Y147" si="20">E142*G142</f>
        <v>0</v>
      </c>
      <c r="Z142" s="604"/>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3">
      <c r="B143" s="757" t="s">
        <v>1418</v>
      </c>
      <c r="C143" s="758"/>
      <c r="D143" s="759"/>
      <c r="E143" s="742">
        <f>P108</f>
        <v>0</v>
      </c>
      <c r="F143" s="743"/>
      <c r="G143" s="935"/>
      <c r="H143" s="935"/>
      <c r="I143" s="936">
        <f t="shared" si="18"/>
        <v>0</v>
      </c>
      <c r="J143" s="936"/>
      <c r="K143" s="1006"/>
      <c r="L143" s="1007"/>
      <c r="M143" s="1007"/>
      <c r="N143" s="1007"/>
      <c r="O143" s="1008"/>
      <c r="P143" s="1010"/>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3">
      <c r="B144" s="757" t="s">
        <v>1419</v>
      </c>
      <c r="C144" s="758"/>
      <c r="D144" s="759"/>
      <c r="E144" s="742">
        <f>P109</f>
        <v>0</v>
      </c>
      <c r="F144" s="743"/>
      <c r="G144" s="935"/>
      <c r="H144" s="935"/>
      <c r="I144" s="936">
        <f t="shared" si="18"/>
        <v>0</v>
      </c>
      <c r="J144" s="936"/>
      <c r="K144" s="1006"/>
      <c r="L144" s="1007"/>
      <c r="M144" s="1007"/>
      <c r="N144" s="1007"/>
      <c r="O144" s="1008"/>
      <c r="P144" s="1010"/>
      <c r="R144" s="557">
        <f t="shared" si="16"/>
        <v>0</v>
      </c>
      <c r="S144" s="147">
        <f>LARGE($R$138:$R$152,7)</f>
        <v>0</v>
      </c>
      <c r="T144" s="553">
        <f t="shared" si="19"/>
        <v>0</v>
      </c>
      <c r="U144" s="557">
        <f t="shared" si="15"/>
        <v>0</v>
      </c>
      <c r="V144" s="50">
        <f t="shared" si="17"/>
        <v>0</v>
      </c>
      <c r="W144" s="10"/>
      <c r="X144" s="10"/>
      <c r="Y144" s="294">
        <f t="shared" si="20"/>
        <v>0</v>
      </c>
      <c r="Z144" s="604"/>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3">
      <c r="B145" s="757" t="s">
        <v>1985</v>
      </c>
      <c r="C145" s="758"/>
      <c r="D145" s="759"/>
      <c r="E145" s="770">
        <f>P118</f>
        <v>0</v>
      </c>
      <c r="F145" s="742"/>
      <c r="G145" s="935"/>
      <c r="H145" s="935"/>
      <c r="I145" s="936">
        <f t="shared" si="18"/>
        <v>0</v>
      </c>
      <c r="J145" s="936"/>
      <c r="K145" s="1006"/>
      <c r="L145" s="1007"/>
      <c r="M145" s="1007"/>
      <c r="N145" s="1007"/>
      <c r="O145" s="1008"/>
      <c r="P145" s="1010"/>
      <c r="R145" s="557">
        <f t="shared" si="16"/>
        <v>0</v>
      </c>
      <c r="S145" s="147">
        <f>LARGE($R$138:$R$152,8)</f>
        <v>0</v>
      </c>
      <c r="T145" s="553">
        <f t="shared" si="19"/>
        <v>0</v>
      </c>
      <c r="U145" s="557">
        <f t="shared" si="15"/>
        <v>0</v>
      </c>
      <c r="V145" s="50">
        <f t="shared" si="17"/>
        <v>0</v>
      </c>
      <c r="W145" s="10"/>
      <c r="X145" s="10"/>
      <c r="Y145" s="294">
        <f t="shared" si="20"/>
        <v>0</v>
      </c>
      <c r="Z145" s="604"/>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3">
      <c r="B146" s="757" t="s">
        <v>1226</v>
      </c>
      <c r="C146" s="758"/>
      <c r="D146" s="759"/>
      <c r="E146" s="770">
        <f>P123</f>
        <v>0</v>
      </c>
      <c r="F146" s="742"/>
      <c r="G146" s="935"/>
      <c r="H146" s="935"/>
      <c r="I146" s="936">
        <f t="shared" si="18"/>
        <v>0</v>
      </c>
      <c r="J146" s="936"/>
      <c r="K146" s="633"/>
      <c r="L146" s="634"/>
      <c r="M146" s="634"/>
      <c r="N146" s="634"/>
      <c r="O146" s="635"/>
      <c r="P146" s="1010"/>
      <c r="R146" s="557">
        <f t="shared" si="16"/>
        <v>0</v>
      </c>
      <c r="S146" s="147">
        <f>LARGE($R$138:$R$152,9)</f>
        <v>0</v>
      </c>
      <c r="T146" s="553">
        <f t="shared" si="19"/>
        <v>0</v>
      </c>
      <c r="U146" s="557">
        <f t="shared" si="15"/>
        <v>0</v>
      </c>
      <c r="V146" s="50">
        <f t="shared" si="17"/>
        <v>0</v>
      </c>
      <c r="W146" s="10"/>
      <c r="X146" s="10"/>
      <c r="Y146" s="294">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3">
      <c r="B147" s="757" t="s">
        <v>1232</v>
      </c>
      <c r="C147" s="758"/>
      <c r="D147" s="759"/>
      <c r="E147" s="770">
        <f>P125</f>
        <v>0</v>
      </c>
      <c r="F147" s="742"/>
      <c r="G147" s="935"/>
      <c r="H147" s="935"/>
      <c r="I147" s="936">
        <f t="shared" si="18"/>
        <v>0</v>
      </c>
      <c r="J147" s="936"/>
      <c r="K147" s="633"/>
      <c r="L147" s="634"/>
      <c r="M147" s="634"/>
      <c r="N147" s="634"/>
      <c r="O147" s="635"/>
      <c r="P147" s="1010"/>
      <c r="R147" s="557">
        <f t="shared" si="16"/>
        <v>0</v>
      </c>
      <c r="S147" s="147">
        <f>LARGE($R$138:$R$152,10)</f>
        <v>0</v>
      </c>
      <c r="T147" s="553">
        <f t="shared" si="19"/>
        <v>0</v>
      </c>
      <c r="U147" s="557">
        <f t="shared" si="15"/>
        <v>0</v>
      </c>
      <c r="V147" s="50">
        <f t="shared" si="17"/>
        <v>0</v>
      </c>
      <c r="W147" s="10"/>
      <c r="X147" s="10"/>
      <c r="Y147" s="294">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3">
      <c r="B148" s="757" t="s">
        <v>383</v>
      </c>
      <c r="C148" s="758"/>
      <c r="D148" s="759"/>
      <c r="E148" s="770">
        <f>P130</f>
        <v>0</v>
      </c>
      <c r="F148" s="742"/>
      <c r="G148" s="925" t="s">
        <v>1941</v>
      </c>
      <c r="H148" s="925"/>
      <c r="I148" s="949"/>
      <c r="J148" s="949"/>
      <c r="K148" s="972" t="str">
        <f>IF(AND(P88&gt;0,E607&gt;0),"A value has been granted for motor loss. Additional impairment value is not allowed for reduced ROM in the same extremity.","")</f>
        <v/>
      </c>
      <c r="L148" s="973"/>
      <c r="M148" s="973"/>
      <c r="N148" s="973"/>
      <c r="O148" s="974"/>
      <c r="P148" s="1010"/>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3">
      <c r="B149" s="757" t="s">
        <v>384</v>
      </c>
      <c r="C149" s="758"/>
      <c r="D149" s="759"/>
      <c r="E149" s="770">
        <f>P131</f>
        <v>0</v>
      </c>
      <c r="F149" s="742"/>
      <c r="G149" s="925" t="s">
        <v>1941</v>
      </c>
      <c r="H149" s="925"/>
      <c r="I149" s="949"/>
      <c r="J149" s="949"/>
      <c r="K149" s="972"/>
      <c r="L149" s="973"/>
      <c r="M149" s="973"/>
      <c r="N149" s="973"/>
      <c r="O149" s="974"/>
      <c r="P149" s="1010"/>
      <c r="R149" s="557">
        <f>E149</f>
        <v>0</v>
      </c>
      <c r="S149" s="147">
        <f>LARGE($R$138:$R$152,12)</f>
        <v>0</v>
      </c>
      <c r="T149" s="553">
        <f t="shared" si="19"/>
        <v>0</v>
      </c>
      <c r="U149" s="557">
        <f t="shared" si="15"/>
        <v>0</v>
      </c>
      <c r="V149" s="50">
        <f t="shared" si="17"/>
        <v>0</v>
      </c>
      <c r="W149" s="10"/>
      <c r="X149" s="10"/>
      <c r="Y149" s="305"/>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3">
      <c r="B150" s="757" t="s">
        <v>807</v>
      </c>
      <c r="C150" s="758"/>
      <c r="D150" s="759"/>
      <c r="E150" s="770">
        <f>P132</f>
        <v>0</v>
      </c>
      <c r="F150" s="742"/>
      <c r="G150" s="925" t="s">
        <v>1941</v>
      </c>
      <c r="H150" s="925"/>
      <c r="I150" s="949"/>
      <c r="J150" s="949"/>
      <c r="K150" s="972"/>
      <c r="L150" s="973"/>
      <c r="M150" s="973"/>
      <c r="N150" s="973"/>
      <c r="O150" s="974"/>
      <c r="P150" s="1010"/>
      <c r="R150" s="557">
        <f>E150</f>
        <v>0</v>
      </c>
      <c r="S150" s="147">
        <f>LARGE($R$138:$R$152,13)</f>
        <v>0</v>
      </c>
      <c r="T150" s="553">
        <f t="shared" si="19"/>
        <v>0</v>
      </c>
      <c r="U150" s="557">
        <f t="shared" si="15"/>
        <v>0</v>
      </c>
      <c r="V150" s="50">
        <f t="shared" si="17"/>
        <v>0</v>
      </c>
      <c r="W150" s="10"/>
      <c r="X150" s="10"/>
      <c r="Y150" s="305"/>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3">
      <c r="B151" s="757" t="s">
        <v>1446</v>
      </c>
      <c r="C151" s="758"/>
      <c r="D151" s="759"/>
      <c r="E151" s="770">
        <f>P134</f>
        <v>0</v>
      </c>
      <c r="F151" s="742"/>
      <c r="G151" s="935"/>
      <c r="H151" s="935"/>
      <c r="I151" s="936">
        <f>IF(AND(Y151&lt;0.01,Y151&gt;0),0.01,ROUND(Y151,2))</f>
        <v>0</v>
      </c>
      <c r="J151" s="936"/>
      <c r="K151" s="972"/>
      <c r="L151" s="973"/>
      <c r="M151" s="973"/>
      <c r="N151" s="973"/>
      <c r="O151" s="974"/>
      <c r="P151" s="1010"/>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3">
      <c r="B152" s="804" t="s">
        <v>1253</v>
      </c>
      <c r="C152" s="804"/>
      <c r="D152" s="804"/>
      <c r="E152" s="1015">
        <f>P135</f>
        <v>0</v>
      </c>
      <c r="F152" s="1015"/>
      <c r="G152" s="1009"/>
      <c r="H152" s="1009"/>
      <c r="I152" s="992">
        <f>IF(AND(Y152&lt;0.01,Y152&gt;0),0.01,ROUND(Y152,2))</f>
        <v>0</v>
      </c>
      <c r="J152" s="992"/>
      <c r="K152" s="975"/>
      <c r="L152" s="976"/>
      <c r="M152" s="976"/>
      <c r="N152" s="976"/>
      <c r="O152" s="977"/>
      <c r="P152" s="1010"/>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3">
      <c r="B153" s="959" t="s">
        <v>2253</v>
      </c>
      <c r="C153" s="959"/>
      <c r="D153" s="959"/>
      <c r="E153" s="959"/>
      <c r="F153" s="959"/>
      <c r="G153" s="959"/>
      <c r="H153" s="959"/>
      <c r="I153" s="959"/>
      <c r="J153" s="959"/>
      <c r="K153" s="959"/>
      <c r="L153" s="959"/>
      <c r="M153" s="959"/>
      <c r="N153" s="959"/>
      <c r="O153" s="959"/>
      <c r="P153" s="996"/>
      <c r="S153" s="14"/>
      <c r="T153" s="142"/>
      <c r="U153" s="129"/>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35">
      <c r="B154" s="792"/>
      <c r="C154" s="792"/>
      <c r="D154" s="792"/>
      <c r="E154" s="792"/>
      <c r="F154" s="792"/>
      <c r="G154" s="792"/>
      <c r="H154" s="792"/>
      <c r="I154" s="792"/>
      <c r="J154" s="792"/>
      <c r="K154" s="792"/>
      <c r="L154" s="792"/>
      <c r="M154" s="792"/>
      <c r="N154" s="792"/>
      <c r="O154" s="792"/>
      <c r="P154" s="792"/>
      <c r="R154" s="206"/>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3">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3">
      <c r="B156" s="907" t="s">
        <v>117</v>
      </c>
      <c r="C156" s="908"/>
      <c r="D156" s="908"/>
      <c r="E156" s="908"/>
      <c r="F156" s="908"/>
      <c r="G156" s="908"/>
      <c r="H156" s="908"/>
      <c r="I156" s="908"/>
      <c r="J156" s="908"/>
      <c r="K156" s="908"/>
      <c r="L156" s="908"/>
      <c r="M156" s="908"/>
      <c r="N156" s="908"/>
      <c r="O156" s="908"/>
      <c r="P156" s="909"/>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3">
      <c r="B157" s="806" t="s">
        <v>1815</v>
      </c>
      <c r="C157" s="806"/>
      <c r="D157" s="806"/>
      <c r="E157" s="806"/>
      <c r="F157" s="806"/>
      <c r="G157" s="806"/>
      <c r="H157" s="806"/>
      <c r="I157" s="806"/>
      <c r="J157" s="806"/>
      <c r="K157" s="806"/>
      <c r="L157" s="806"/>
      <c r="M157" s="806"/>
      <c r="N157" s="806"/>
      <c r="O157" s="806"/>
      <c r="P157" s="936">
        <f>SUMIF(S157:Y157,B158,S158:Y158)</f>
        <v>0</v>
      </c>
      <c r="R157" s="950"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3">
      <c r="B158" s="1014"/>
      <c r="C158" s="1014"/>
      <c r="D158" s="1014"/>
      <c r="E158" s="1014"/>
      <c r="F158" s="1014"/>
      <c r="G158" s="1014"/>
      <c r="H158" s="1014"/>
      <c r="I158" s="1014"/>
      <c r="J158" s="1014"/>
      <c r="K158" s="1014"/>
      <c r="L158" s="1014"/>
      <c r="M158" s="1014"/>
      <c r="N158" s="1014"/>
      <c r="O158" s="1014"/>
      <c r="P158" s="936"/>
      <c r="R158" s="791"/>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3">
      <c r="B159" s="981" t="str">
        <f>IF(AND(P157&gt;0.1,B161=""),"Enter specific level of amputation or shortening below.","")</f>
        <v/>
      </c>
      <c r="C159" s="981"/>
      <c r="D159" s="981"/>
      <c r="E159" s="981"/>
      <c r="F159" s="981"/>
      <c r="G159" s="981"/>
      <c r="H159" s="981"/>
      <c r="I159" s="981"/>
      <c r="J159" s="981"/>
      <c r="K159" s="981"/>
      <c r="L159" s="981"/>
      <c r="M159" s="981"/>
      <c r="N159" s="981"/>
      <c r="O159" s="981"/>
      <c r="P159" s="981"/>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3">
      <c r="B160" s="776" t="s">
        <v>588</v>
      </c>
      <c r="C160" s="776"/>
      <c r="D160" s="776"/>
      <c r="E160" s="776"/>
      <c r="F160" s="776"/>
      <c r="G160" s="776"/>
      <c r="H160" s="776"/>
      <c r="I160" s="776"/>
      <c r="J160" s="776"/>
      <c r="K160" s="776"/>
      <c r="L160" s="776"/>
      <c r="M160" s="776"/>
      <c r="N160" s="776"/>
      <c r="O160" s="776"/>
      <c r="P160" s="936">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3">
      <c r="B161" s="1014"/>
      <c r="C161" s="1014"/>
      <c r="D161" s="1014"/>
      <c r="E161" s="1014"/>
      <c r="F161" s="1014"/>
      <c r="G161" s="1014"/>
      <c r="H161" s="1014"/>
      <c r="I161" s="1014"/>
      <c r="J161" s="1014"/>
      <c r="K161" s="1014"/>
      <c r="L161" s="1014"/>
      <c r="M161" s="1014"/>
      <c r="N161" s="1014"/>
      <c r="O161" s="1014"/>
      <c r="P161" s="936"/>
      <c r="R161" s="77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3">
      <c r="B162" s="1072" t="s">
        <v>680</v>
      </c>
      <c r="C162" s="1072"/>
      <c r="D162" s="1072"/>
      <c r="E162" s="1072"/>
      <c r="F162" s="1072"/>
      <c r="G162" s="1072"/>
      <c r="H162" s="1072"/>
      <c r="I162" s="1072"/>
      <c r="J162" s="1072"/>
      <c r="K162" s="1072"/>
      <c r="L162" s="1072"/>
      <c r="M162" s="1072"/>
      <c r="N162" s="1072"/>
      <c r="O162" s="1072"/>
      <c r="P162" s="936"/>
      <c r="R162" s="77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3">
      <c r="B163" s="792"/>
      <c r="C163" s="792"/>
      <c r="D163" s="792"/>
      <c r="E163" s="792"/>
      <c r="F163" s="792"/>
      <c r="G163" s="792"/>
      <c r="H163" s="792"/>
      <c r="I163" s="792"/>
      <c r="J163" s="792"/>
      <c r="K163" s="792"/>
      <c r="L163" s="792"/>
      <c r="M163" s="792"/>
      <c r="N163" s="792"/>
      <c r="O163" s="79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3">
      <c r="B164" s="792"/>
      <c r="C164" s="792"/>
      <c r="D164" s="792"/>
      <c r="E164" s="792"/>
      <c r="F164" s="792"/>
      <c r="G164" s="792"/>
      <c r="H164" s="792"/>
      <c r="I164" s="792"/>
      <c r="J164" s="792"/>
      <c r="K164" s="792"/>
      <c r="L164" s="792"/>
      <c r="M164" s="792"/>
      <c r="N164" s="792"/>
      <c r="O164" s="79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3">
      <c r="B165" s="925" t="s">
        <v>1594</v>
      </c>
      <c r="C165" s="925"/>
      <c r="D165" s="925"/>
      <c r="E165" s="925"/>
      <c r="F165" s="925"/>
      <c r="G165" s="925"/>
      <c r="H165" s="925"/>
      <c r="I165" s="925"/>
      <c r="J165" s="925"/>
      <c r="K165" s="925"/>
      <c r="L165" s="925"/>
      <c r="M165" s="925"/>
      <c r="N165" s="925"/>
      <c r="O165" s="925"/>
      <c r="P165" s="770">
        <f>IF(R178=1,"ERROR",IF(AND(AD169&gt;0,AD169&lt;0.01),0.01,ROUND(AD169,2)))</f>
        <v>0</v>
      </c>
      <c r="R165" s="10"/>
      <c r="S165" s="10"/>
      <c r="T165" s="776" t="s">
        <v>1257</v>
      </c>
      <c r="U165" s="776" t="s">
        <v>1257</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3">
      <c r="B166" s="18" t="s">
        <v>1566</v>
      </c>
      <c r="C166" s="925" t="s">
        <v>1595</v>
      </c>
      <c r="D166" s="925"/>
      <c r="E166" s="925"/>
      <c r="F166" s="925"/>
      <c r="G166" s="927" t="s">
        <v>1081</v>
      </c>
      <c r="H166" s="927"/>
      <c r="I166" s="927"/>
      <c r="J166" s="927"/>
      <c r="K166" s="925"/>
      <c r="L166" s="925"/>
      <c r="M166" s="925"/>
      <c r="N166" s="925"/>
      <c r="O166" s="925"/>
      <c r="P166" s="770"/>
      <c r="R166" s="10"/>
      <c r="S166" s="10"/>
      <c r="T166" s="776"/>
      <c r="U166" s="776"/>
      <c r="V166" s="10"/>
      <c r="W166" s="10"/>
      <c r="X166" s="10"/>
      <c r="Y166" s="10"/>
      <c r="Z166" s="10"/>
      <c r="AA166" s="984" t="s">
        <v>2258</v>
      </c>
      <c r="AB166" s="985"/>
      <c r="AC166" s="985"/>
      <c r="AD166" s="986"/>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3">
      <c r="B167" s="18"/>
      <c r="C167" s="925" t="s">
        <v>365</v>
      </c>
      <c r="D167" s="925"/>
      <c r="E167" s="925" t="s">
        <v>1795</v>
      </c>
      <c r="F167" s="925"/>
      <c r="G167" s="925" t="s">
        <v>365</v>
      </c>
      <c r="H167" s="925"/>
      <c r="I167" s="925" t="s">
        <v>1795</v>
      </c>
      <c r="J167" s="925"/>
      <c r="K167" s="925"/>
      <c r="L167" s="925"/>
      <c r="M167" s="925"/>
      <c r="N167" s="925"/>
      <c r="O167" s="925"/>
      <c r="P167" s="770"/>
      <c r="R167" s="10"/>
      <c r="S167" s="50" t="s">
        <v>1654</v>
      </c>
      <c r="T167" s="259" t="s">
        <v>1595</v>
      </c>
      <c r="U167" s="259" t="s">
        <v>1596</v>
      </c>
      <c r="V167" s="925" t="s">
        <v>1083</v>
      </c>
      <c r="W167" s="925"/>
      <c r="X167" s="925"/>
      <c r="Y167" s="925"/>
      <c r="AA167" s="987"/>
      <c r="AB167" s="712"/>
      <c r="AC167" s="712"/>
      <c r="AD167" s="988"/>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3">
      <c r="B168" s="146" t="s">
        <v>681</v>
      </c>
      <c r="C168" s="708"/>
      <c r="D168" s="708"/>
      <c r="E168" s="948">
        <f>UETable!AV25</f>
        <v>0</v>
      </c>
      <c r="F168" s="948"/>
      <c r="G168" s="708"/>
      <c r="H168" s="708"/>
      <c r="I168" s="929">
        <f>IF(C168="",0,IF(OR(C168&lt;=0,G168&lt;=0),E168,IF(G168&lt;C168,0,UETable!BA25)))</f>
        <v>0</v>
      </c>
      <c r="J168" s="929"/>
      <c r="K168" s="946" t="str">
        <f>IF(OR(C168="NA",G168="NA"),"",IF(AND(C168&lt;&gt;"",G168=""),"Enter contralateral or NA.",IF(AND(C168="",G168&lt;&gt;""),"Need data","")))</f>
        <v/>
      </c>
      <c r="L168" s="946"/>
      <c r="M168" s="946"/>
      <c r="N168" s="946"/>
      <c r="O168" s="946"/>
      <c r="P168" s="770"/>
      <c r="R168" s="10"/>
      <c r="S168" s="50">
        <v>70</v>
      </c>
      <c r="T168" s="50" t="str">
        <f>IF(OR(C168="",C168="NA"),"",IF(C168&gt;S168,S168,IF(C168&lt;0,0,C168)))</f>
        <v/>
      </c>
      <c r="U168" s="50" t="str">
        <f>IF(OR(G168="",G168="NA"),"",IF(G168&gt;S168,S168,IF(G168&lt;0,0,G168)))</f>
        <v/>
      </c>
      <c r="V168" s="562" t="str">
        <f>IF(Y168="","",ROUND(Y168,0))</f>
        <v/>
      </c>
      <c r="W168" s="806" t="s">
        <v>1202</v>
      </c>
      <c r="X168" s="806"/>
      <c r="Y168" s="563" t="str">
        <f>IF(T168="","",IF(OR(U168="",U168=0,U168&lt;T168),T168,(T168*70)/U168))</f>
        <v/>
      </c>
      <c r="Z168" s="10"/>
      <c r="AA168" s="989"/>
      <c r="AB168" s="990"/>
      <c r="AC168" s="990"/>
      <c r="AD168" s="991"/>
      <c r="AE168" s="18">
        <f>IF(OR(E170&gt;0,E174&gt;0,E178&gt;0),1,0)</f>
        <v>0</v>
      </c>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3">
      <c r="B169" s="146" t="s">
        <v>682</v>
      </c>
      <c r="C169" s="708"/>
      <c r="D169" s="708"/>
      <c r="E169" s="948">
        <f>UETable!AV26</f>
        <v>0</v>
      </c>
      <c r="F169" s="948"/>
      <c r="G169" s="708"/>
      <c r="H169" s="708"/>
      <c r="I169" s="929">
        <f>IF(C169="",0,IF(OR(C169&gt;=70,G169&gt;=70),E169,IF(G169&gt;C169,0,UETable!BA26)))</f>
        <v>0</v>
      </c>
      <c r="J169" s="929"/>
      <c r="K169" s="946" t="str">
        <f>IF(OR(C169="NA",G169="NA"),"",IF(AND(C169&lt;&gt;"",G169=""),"Enter contralateral or NA.",IF(AND(C169="",G169&lt;&gt;""),"Need data","")))</f>
        <v/>
      </c>
      <c r="L169" s="946"/>
      <c r="M169" s="946"/>
      <c r="N169" s="946"/>
      <c r="O169" s="946"/>
      <c r="P169" s="770"/>
      <c r="S169" s="50">
        <v>70</v>
      </c>
      <c r="T169" s="50"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3">
      <c r="B170" s="146" t="s">
        <v>683</v>
      </c>
      <c r="C170" s="708"/>
      <c r="D170" s="708"/>
      <c r="E170" s="948">
        <f>IF(AND(C170&lt;&gt;"",C170&lt;&gt;"NA",C169&lt;&gt;"NA",C169&lt;&gt;""),"ERROR",IF(AND(C170&lt;&gt;"",C170&lt;&gt;"NA",C168&lt;&gt;"",C168&lt;&gt;"NA"),"ERROR",UETable!AV27))</f>
        <v>0</v>
      </c>
      <c r="F170" s="948"/>
      <c r="G170" s="946" t="str">
        <f>IF(AND(C170&lt;&gt;"",C170&lt;&gt;"NA",C169&lt;&gt;"NA",C169&lt;&gt;""),"ERROR: Cannot rate ROM and ankylosis.",IF(AND(C170&lt;&gt;"",C170&lt;&gt;"NA",C168&lt;&gt;"",C168&lt;&gt;"NA"),"ERROR: Cannot rate ROM and ankylosis.",""))</f>
        <v/>
      </c>
      <c r="H170" s="946"/>
      <c r="I170" s="946"/>
      <c r="J170" s="946"/>
      <c r="K170" s="946"/>
      <c r="L170" s="946"/>
      <c r="M170" s="946"/>
      <c r="N170" s="946"/>
      <c r="O170" s="946"/>
      <c r="P170" s="770"/>
      <c r="R170" s="10"/>
      <c r="S170" s="50">
        <v>70</v>
      </c>
      <c r="T170" s="50"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3">
      <c r="B171" s="993"/>
      <c r="C171" s="994"/>
      <c r="D171" s="994"/>
      <c r="E171" s="994"/>
      <c r="F171" s="994"/>
      <c r="G171" s="994"/>
      <c r="H171" s="994"/>
      <c r="I171" s="994"/>
      <c r="J171" s="995"/>
      <c r="K171" s="958" t="s">
        <v>1841</v>
      </c>
      <c r="L171" s="958"/>
      <c r="M171" s="958"/>
      <c r="N171" s="958"/>
      <c r="O171" s="65">
        <f>IF(E170="ERROR","ERROR",IF(R171&gt;1,1,R171))</f>
        <v>0</v>
      </c>
      <c r="P171" s="770"/>
      <c r="R171" s="194">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3">
      <c r="B172" s="146" t="s">
        <v>684</v>
      </c>
      <c r="C172" s="708"/>
      <c r="D172" s="708"/>
      <c r="E172" s="948">
        <f>UETable!AV29</f>
        <v>0</v>
      </c>
      <c r="F172" s="948"/>
      <c r="G172" s="708"/>
      <c r="H172" s="708"/>
      <c r="I172" s="929">
        <f>IF(C172="",0,IF(OR(C172&lt;=0,G172&lt;=0),E172,IF(G172&lt;C172,0,UETable!BA29)))</f>
        <v>0</v>
      </c>
      <c r="J172" s="929"/>
      <c r="K172" s="946" t="str">
        <f>IF(OR(C172="NA",G172="NA"),"",IF(AND(C172&lt;&gt;"",G172=""),"Enter contralateral or NA.",IF(AND(C172="",G172&lt;&gt;""),"Need data","")))</f>
        <v/>
      </c>
      <c r="L172" s="946"/>
      <c r="M172" s="946"/>
      <c r="N172" s="946"/>
      <c r="O172" s="946"/>
      <c r="P172" s="770"/>
      <c r="R172" s="10"/>
      <c r="S172" s="50">
        <v>100</v>
      </c>
      <c r="T172" s="50" t="str">
        <f>IF(OR(C172="",C172="NA"),"",IF(C172&gt;S172,S172,IF(C172&lt;0,0,C172)))</f>
        <v/>
      </c>
      <c r="U172" s="50" t="str">
        <f>IF(OR(G172="",G172="NA"),"",IF(G172&gt;S172,S172,IF(G172&lt;0,0,G172)))</f>
        <v/>
      </c>
      <c r="V172" s="562" t="str">
        <f>IF(Y172="","",ROUND(Y172,0))</f>
        <v/>
      </c>
      <c r="W172" s="806" t="s">
        <v>1202</v>
      </c>
      <c r="X172" s="806"/>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3">
      <c r="B173" s="146" t="s">
        <v>685</v>
      </c>
      <c r="C173" s="708"/>
      <c r="D173" s="708"/>
      <c r="E173" s="948">
        <f>UETable!AV30</f>
        <v>0</v>
      </c>
      <c r="F173" s="948"/>
      <c r="G173" s="708"/>
      <c r="H173" s="708"/>
      <c r="I173" s="929">
        <f>IF(C173="",0,IF(OR(C173&gt;=100,G173&gt;=100),E173,IF(G173&gt;C173,0,UETable!BA30)))</f>
        <v>0</v>
      </c>
      <c r="J173" s="929"/>
      <c r="K173" s="946" t="str">
        <f>IF(OR(C173="NA",G173="NA"),"",IF(AND(C173&lt;&gt;"",G173=""),"Enter contralateral or NA.",IF(AND(C173="",G173&lt;&gt;""),"Need data","")))</f>
        <v/>
      </c>
      <c r="L173" s="946"/>
      <c r="M173" s="946"/>
      <c r="N173" s="946"/>
      <c r="O173" s="946"/>
      <c r="P173" s="770"/>
      <c r="S173" s="50">
        <v>100</v>
      </c>
      <c r="T173" s="50"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3">
      <c r="B174" s="146" t="s">
        <v>686</v>
      </c>
      <c r="C174" s="708"/>
      <c r="D174" s="708"/>
      <c r="E174" s="948">
        <f>IF(AND(C174&lt;&gt;"",C174&lt;&gt;"NA",C173&lt;&gt;"NA",C173&lt;&gt;""),"ERROR",IF(AND(C174&lt;&gt;"",C174&lt;&gt;"NA",C172&lt;&gt;"",C172&lt;&gt;"NA"),"ERROR",UETable!AV31))</f>
        <v>0</v>
      </c>
      <c r="F174" s="948"/>
      <c r="G174" s="946" t="str">
        <f>IF(AND(C174&lt;&gt;"",C174&lt;&gt;"NA",C173&lt;&gt;"NA",C173&lt;&gt;""),"ERROR: Cannot rate ROM and ankylosis.",IF(AND(C174&lt;&gt;"",C174&lt;&gt;"NA",C172&lt;&gt;"",C172&lt;&gt;"NA"),"ERROR: Cannot rate ROM and ankylosis.",""))</f>
        <v/>
      </c>
      <c r="H174" s="946"/>
      <c r="I174" s="946"/>
      <c r="J174" s="946"/>
      <c r="K174" s="946"/>
      <c r="L174" s="946"/>
      <c r="M174" s="946"/>
      <c r="N174" s="946"/>
      <c r="O174" s="946"/>
      <c r="P174" s="770"/>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3">
      <c r="B175" s="993"/>
      <c r="C175" s="994"/>
      <c r="D175" s="994"/>
      <c r="E175" s="994"/>
      <c r="F175" s="994"/>
      <c r="G175" s="994"/>
      <c r="H175" s="994"/>
      <c r="I175" s="994"/>
      <c r="J175" s="995"/>
      <c r="K175" s="958" t="s">
        <v>1841</v>
      </c>
      <c r="L175" s="958"/>
      <c r="M175" s="958"/>
      <c r="N175" s="958"/>
      <c r="O175" s="65">
        <f>IF(E174="ERROR","ERROR",IF(R175&gt;1,1,R175))</f>
        <v>0</v>
      </c>
      <c r="P175" s="770"/>
      <c r="R175" s="194">
        <f>SUM(I172,I173,E174)</f>
        <v>0</v>
      </c>
      <c r="S175" s="1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3">
      <c r="B176" s="146" t="s">
        <v>1577</v>
      </c>
      <c r="C176" s="708"/>
      <c r="D176" s="708"/>
      <c r="E176" s="948">
        <f>UETable!AV33</f>
        <v>0</v>
      </c>
      <c r="F176" s="948"/>
      <c r="G176" s="708"/>
      <c r="H176" s="708"/>
      <c r="I176" s="929">
        <f>IF(C176="",0,IF(OR(C176&lt;=0,G176&lt;=0),E176,IF(G176&lt;C176,0,UETable!BA33)))</f>
        <v>0</v>
      </c>
      <c r="J176" s="929"/>
      <c r="K176" s="946" t="str">
        <f>IF(OR(C176="NA",G176="NA"),"",IF(AND(C176&lt;&gt;"",G176=""),"Enter contralateral or NA.",IF(AND(C176="",G176&lt;&gt;""),"Need data","")))</f>
        <v/>
      </c>
      <c r="L176" s="946"/>
      <c r="M176" s="946"/>
      <c r="N176" s="946"/>
      <c r="O176" s="946"/>
      <c r="P176" s="770"/>
      <c r="R176" s="10"/>
      <c r="S176" s="50">
        <v>90</v>
      </c>
      <c r="T176" s="50" t="str">
        <f>IF(OR(C176="",C176="NA"),"",IF(C176&gt;S176,S176,IF(C176&lt;0,0,C176)))</f>
        <v/>
      </c>
      <c r="U176" s="50" t="str">
        <f>IF(OR(G176="",G176="NA"),"",IF(G176&gt;S176,S176,IF(G176&lt;0,0,G176)))</f>
        <v/>
      </c>
      <c r="V176" s="562" t="str">
        <f>IF(Y176="","",ROUND(Y176,0))</f>
        <v/>
      </c>
      <c r="W176" s="806" t="s">
        <v>1202</v>
      </c>
      <c r="X176" s="806"/>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3">
      <c r="B177" s="146" t="s">
        <v>1578</v>
      </c>
      <c r="C177" s="708"/>
      <c r="D177" s="708"/>
      <c r="E177" s="948">
        <f>UETable!AV34</f>
        <v>0</v>
      </c>
      <c r="F177" s="948"/>
      <c r="G177" s="708"/>
      <c r="H177" s="708"/>
      <c r="I177" s="929">
        <f>IF(C177="",0,IF(OR(C177&gt;=90,G177&gt;=90),E177,IF(G177&gt;C177,0,UETable!BA34)))</f>
        <v>0</v>
      </c>
      <c r="J177" s="929"/>
      <c r="K177" s="946" t="str">
        <f>IF(OR(C177="NA",G177="NA"),"",IF(AND(C177&lt;&gt;"",G177=""),"Enter contralateral or NA.",IF(AND(C177="",G177&lt;&gt;""),"Need data","")))</f>
        <v/>
      </c>
      <c r="L177" s="946"/>
      <c r="M177" s="946"/>
      <c r="N177" s="946"/>
      <c r="O177" s="946"/>
      <c r="P177" s="770"/>
      <c r="R177" s="10"/>
      <c r="S177" s="50">
        <v>90</v>
      </c>
      <c r="T177" s="50"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3">
      <c r="B178" s="146" t="s">
        <v>643</v>
      </c>
      <c r="C178" s="708"/>
      <c r="D178" s="708"/>
      <c r="E178" s="948">
        <f>IF(AND(C178&lt;&gt;"",C178&lt;&gt;"NA",C177&lt;&gt;"NA",C177&lt;&gt;""),"ERROR",IF(AND(C178&lt;&gt;"",C178&lt;&gt;"NA",C176&lt;&gt;"",C176&lt;&gt;"NA"),"ERROR",UETable!AV35))</f>
        <v>0</v>
      </c>
      <c r="F178" s="948"/>
      <c r="G178" s="946" t="str">
        <f>IF(AND(C178&lt;&gt;"",C178&lt;&gt;"NA",C177&lt;&gt;"NA",C177&lt;&gt;""),"ERROR: Cannot rate ROM and ankylosis.",IF(AND(C178&lt;&gt;"",C178&lt;&gt;"NA",C176&lt;&gt;"",C176&lt;&gt;"NA"),"ERROR: Cannot rate ROM and ankylosis.",""))</f>
        <v/>
      </c>
      <c r="H178" s="946"/>
      <c r="I178" s="946"/>
      <c r="J178" s="946"/>
      <c r="K178" s="946"/>
      <c r="L178" s="946"/>
      <c r="M178" s="946"/>
      <c r="N178" s="946"/>
      <c r="O178" s="946"/>
      <c r="P178" s="770"/>
      <c r="R178" s="50">
        <f>IF(OR(O171="ERROR",O175="ERROR",O179="ERROR"),1,0)</f>
        <v>0</v>
      </c>
      <c r="S178" s="50">
        <v>90</v>
      </c>
      <c r="T178" s="50"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3">
      <c r="B179" s="636"/>
      <c r="C179" s="637"/>
      <c r="D179" s="637"/>
      <c r="E179" s="1138" t="str">
        <f>IF(AND(OR(E170&gt;0,E174&gt;0,E178&gt;0),C180&gt;0),"Note: Ankylosis is not apportioned.","")</f>
        <v/>
      </c>
      <c r="F179" s="1138"/>
      <c r="G179" s="1138"/>
      <c r="H179" s="1138"/>
      <c r="I179" s="1138"/>
      <c r="J179" s="958" t="s">
        <v>1841</v>
      </c>
      <c r="K179" s="958"/>
      <c r="L179" s="958"/>
      <c r="M179" s="958"/>
      <c r="N179" s="958"/>
      <c r="O179" s="65">
        <f>IF(E178="ERROR","ERROR",IF(R179&gt;1,1,R179))</f>
        <v>0</v>
      </c>
      <c r="P179" s="77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3">
      <c r="B180" s="13" t="s">
        <v>2255</v>
      </c>
      <c r="C180" s="935"/>
      <c r="D180" s="960"/>
      <c r="E180" s="1138"/>
      <c r="F180" s="1138"/>
      <c r="G180" s="1138"/>
      <c r="H180" s="1138"/>
      <c r="I180" s="1138"/>
      <c r="J180" s="958" t="s">
        <v>589</v>
      </c>
      <c r="K180" s="958"/>
      <c r="L180" s="958"/>
      <c r="M180" s="958"/>
      <c r="N180" s="958"/>
      <c r="O180" s="958"/>
      <c r="P180" s="77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3">
      <c r="B181" s="792"/>
      <c r="C181" s="792"/>
      <c r="D181" s="792"/>
      <c r="E181" s="792"/>
      <c r="F181" s="792"/>
      <c r="G181" s="792"/>
      <c r="H181" s="792"/>
      <c r="I181" s="792"/>
      <c r="J181" s="792"/>
      <c r="K181" s="792"/>
      <c r="L181" s="792"/>
      <c r="M181" s="792"/>
      <c r="N181" s="792"/>
      <c r="O181" s="792"/>
      <c r="R181" s="10"/>
      <c r="S181" s="878" t="s">
        <v>2196</v>
      </c>
      <c r="T181" s="878"/>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3">
      <c r="A182" s="15"/>
      <c r="B182" s="964" t="s">
        <v>969</v>
      </c>
      <c r="C182" s="965"/>
      <c r="D182" s="934"/>
      <c r="E182" s="934"/>
      <c r="F182" s="971" t="s">
        <v>1228</v>
      </c>
      <c r="G182" s="971"/>
      <c r="H182" s="971"/>
      <c r="I182" s="971"/>
      <c r="J182" s="971"/>
      <c r="K182" s="971"/>
      <c r="L182" s="971"/>
      <c r="M182" s="971"/>
      <c r="N182" s="971"/>
      <c r="O182" s="971"/>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3">
      <c r="B183" s="966"/>
      <c r="C183" s="967"/>
      <c r="D183" s="934"/>
      <c r="E183" s="934"/>
      <c r="F183" s="971" t="s">
        <v>1230</v>
      </c>
      <c r="G183" s="971"/>
      <c r="H183" s="971"/>
      <c r="I183" s="971"/>
      <c r="J183" s="971"/>
      <c r="K183" s="971"/>
      <c r="L183" s="971"/>
      <c r="M183" s="971"/>
      <c r="N183" s="971"/>
      <c r="O183" s="971"/>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3">
      <c r="B184" s="966"/>
      <c r="C184" s="967"/>
      <c r="D184" s="934"/>
      <c r="E184" s="934"/>
      <c r="F184" s="971" t="s">
        <v>1229</v>
      </c>
      <c r="G184" s="971"/>
      <c r="H184" s="971"/>
      <c r="I184" s="971"/>
      <c r="J184" s="971"/>
      <c r="K184" s="971"/>
      <c r="L184" s="971"/>
      <c r="M184" s="971"/>
      <c r="N184" s="971"/>
      <c r="O184" s="971"/>
      <c r="P184" s="82">
        <f>IF(T184=1,0.1,0)</f>
        <v>0</v>
      </c>
      <c r="R184" s="10"/>
      <c r="S184" s="555"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3">
      <c r="B185" s="968"/>
      <c r="C185" s="969"/>
      <c r="D185" s="934"/>
      <c r="E185" s="934"/>
      <c r="F185" s="971" t="s">
        <v>1231</v>
      </c>
      <c r="G185" s="971"/>
      <c r="H185" s="971"/>
      <c r="I185" s="971"/>
      <c r="J185" s="971"/>
      <c r="K185" s="971"/>
      <c r="L185" s="971"/>
      <c r="M185" s="971"/>
      <c r="N185" s="971"/>
      <c r="O185" s="971"/>
      <c r="P185" s="82">
        <f>IF(T185=1,0.1,0)</f>
        <v>0</v>
      </c>
      <c r="R185" s="10"/>
      <c r="S185" s="555"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3">
      <c r="B186" s="792"/>
      <c r="C186" s="792"/>
      <c r="D186" s="792"/>
      <c r="E186" s="792"/>
      <c r="F186" s="792"/>
      <c r="G186" s="792"/>
      <c r="H186" s="792"/>
      <c r="I186" s="792"/>
      <c r="J186" s="792"/>
      <c r="K186" s="792"/>
      <c r="L186" s="792"/>
      <c r="M186" s="792"/>
      <c r="N186" s="792"/>
      <c r="O186" s="792"/>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3">
      <c r="B187" s="485"/>
      <c r="C187" s="1012" t="s">
        <v>248</v>
      </c>
      <c r="D187" s="983"/>
      <c r="E187" s="982" t="s">
        <v>249</v>
      </c>
      <c r="F187" s="983"/>
      <c r="G187" s="355"/>
      <c r="H187" s="357"/>
      <c r="I187" s="1011" t="s">
        <v>250</v>
      </c>
      <c r="J187" s="983"/>
      <c r="K187" s="477"/>
      <c r="L187" s="357"/>
      <c r="M187" s="982" t="s">
        <v>249</v>
      </c>
      <c r="N187" s="983"/>
      <c r="O187" s="356"/>
      <c r="P187" s="492"/>
      <c r="Z187" s="482"/>
      <c r="AE187" s="481"/>
      <c r="AF187" s="481"/>
      <c r="AG187" s="481"/>
      <c r="AH187" s="481"/>
      <c r="AI187" s="481"/>
      <c r="AJ187" s="481"/>
      <c r="AK187" s="481"/>
      <c r="AL187" s="481"/>
      <c r="AM187" s="481"/>
      <c r="AN187" s="481"/>
    </row>
    <row r="188" spans="1:109" ht="12" customHeight="1" x14ac:dyDescent="0.3">
      <c r="B188" s="486"/>
      <c r="C188" s="970" t="s">
        <v>251</v>
      </c>
      <c r="D188" s="963"/>
      <c r="E188" s="970" t="s">
        <v>252</v>
      </c>
      <c r="F188" s="963"/>
      <c r="G188" s="970" t="s">
        <v>253</v>
      </c>
      <c r="H188" s="963"/>
      <c r="I188" s="962" t="s">
        <v>254</v>
      </c>
      <c r="J188" s="963"/>
      <c r="K188" s="970" t="s">
        <v>255</v>
      </c>
      <c r="L188" s="963"/>
      <c r="M188" s="970" t="s">
        <v>256</v>
      </c>
      <c r="N188" s="963"/>
      <c r="P188" s="493"/>
      <c r="Z188" s="332"/>
      <c r="AE188" s="481"/>
      <c r="AF188" s="481"/>
      <c r="AG188" s="481"/>
      <c r="AH188" s="481"/>
      <c r="AI188" s="481"/>
      <c r="AJ188" s="481"/>
      <c r="AK188" s="481"/>
      <c r="AL188" s="481"/>
      <c r="AM188" s="481"/>
      <c r="AN188" s="481"/>
    </row>
    <row r="189" spans="1:109" ht="12" customHeight="1" x14ac:dyDescent="0.3">
      <c r="B189" s="486"/>
      <c r="C189" s="943" t="s">
        <v>257</v>
      </c>
      <c r="D189" s="944"/>
      <c r="E189" s="943" t="s">
        <v>258</v>
      </c>
      <c r="F189" s="944"/>
      <c r="G189" s="943" t="s">
        <v>259</v>
      </c>
      <c r="H189" s="944"/>
      <c r="I189" s="1013" t="s">
        <v>260</v>
      </c>
      <c r="J189" s="944"/>
      <c r="K189" s="943" t="s">
        <v>259</v>
      </c>
      <c r="L189" s="944"/>
      <c r="M189" s="943" t="s">
        <v>258</v>
      </c>
      <c r="N189" s="944"/>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3">
      <c r="B190" s="548" t="s">
        <v>1985</v>
      </c>
      <c r="C190" s="1001" t="s">
        <v>261</v>
      </c>
      <c r="D190" s="1002"/>
      <c r="E190" s="1001" t="s">
        <v>261</v>
      </c>
      <c r="F190" s="1002"/>
      <c r="G190" s="1001" t="s">
        <v>261</v>
      </c>
      <c r="H190" s="1002"/>
      <c r="I190" s="1001" t="s">
        <v>261</v>
      </c>
      <c r="J190" s="1002"/>
      <c r="K190" s="1001" t="s">
        <v>261</v>
      </c>
      <c r="L190" s="1002"/>
      <c r="M190" s="1001" t="s">
        <v>261</v>
      </c>
      <c r="N190" s="1002"/>
      <c r="P190" s="493"/>
      <c r="S190" s="907" t="s">
        <v>2196</v>
      </c>
      <c r="T190" s="908"/>
      <c r="U190" s="908"/>
      <c r="V190" s="908"/>
      <c r="W190" s="908"/>
      <c r="X190" s="909"/>
      <c r="Y190" s="480"/>
      <c r="Z190" s="480"/>
      <c r="AA190" s="952" t="s">
        <v>2196</v>
      </c>
      <c r="AB190" s="953"/>
      <c r="AC190" s="953"/>
      <c r="AD190" s="953"/>
      <c r="AE190" s="953"/>
      <c r="AF190" s="954"/>
      <c r="AG190" s="480"/>
      <c r="AH190" s="910" t="s">
        <v>2196</v>
      </c>
      <c r="AI190" s="911"/>
      <c r="AJ190" s="911"/>
      <c r="AK190" s="911"/>
      <c r="AL190" s="911"/>
      <c r="AM190" s="912"/>
      <c r="AO190" s="907" t="s">
        <v>2196</v>
      </c>
      <c r="AP190" s="908"/>
      <c r="AQ190" s="908"/>
      <c r="AR190" s="908"/>
      <c r="AS190" s="909"/>
      <c r="AU190" s="907" t="s">
        <v>2196</v>
      </c>
      <c r="AV190" s="908"/>
      <c r="AW190" s="908"/>
      <c r="AX190" s="909"/>
      <c r="AZ190" s="907" t="s">
        <v>2196</v>
      </c>
      <c r="BA190" s="908"/>
      <c r="BB190" s="908"/>
      <c r="BC190" s="908"/>
      <c r="BD190" s="908"/>
      <c r="BE190" s="908"/>
      <c r="BF190" s="908"/>
      <c r="BG190" s="909"/>
      <c r="BI190" s="907" t="s">
        <v>2196</v>
      </c>
      <c r="BJ190" s="908"/>
      <c r="BK190" s="908"/>
      <c r="BL190" s="908"/>
      <c r="BM190" s="908"/>
      <c r="BN190" s="909"/>
    </row>
    <row r="191" spans="1:109" customFormat="1" ht="15" customHeight="1" x14ac:dyDescent="0.3">
      <c r="B191" s="146" t="s">
        <v>1606</v>
      </c>
      <c r="C191" s="945"/>
      <c r="D191" s="945"/>
      <c r="E191" s="945"/>
      <c r="F191" s="945"/>
      <c r="G191" s="945"/>
      <c r="H191" s="945"/>
      <c r="I191" s="945"/>
      <c r="J191" s="945"/>
      <c r="K191" s="945"/>
      <c r="L191" s="945"/>
      <c r="M191" s="945"/>
      <c r="N191" s="945"/>
      <c r="P191" s="494"/>
      <c r="S191" s="304">
        <f>IF(C191="",0,C191)</f>
        <v>0</v>
      </c>
      <c r="T191" s="304">
        <f>IF(E191&lt;&gt;"",E191,IF(S191&gt;0,S191,0))</f>
        <v>0</v>
      </c>
      <c r="U191" s="304">
        <f>IF(G191&lt;&gt;"",G191,IF(T191&gt;0,T191,0))</f>
        <v>0</v>
      </c>
      <c r="V191" s="304">
        <f>IF(I191&lt;&gt;"",I191,IF(U191&gt;0,U191,0))</f>
        <v>0</v>
      </c>
      <c r="W191" s="304">
        <f>IF(K191&lt;&gt;"",K191,IF(V191&gt;0,V191,0))</f>
        <v>0</v>
      </c>
      <c r="X191" s="304">
        <f>IF(M191&lt;&gt;"",M191,IF(W191&gt;0,W191,0))</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907" t="s">
        <v>2196</v>
      </c>
      <c r="BS191" s="908"/>
      <c r="BT191" s="908"/>
      <c r="BU191" s="908"/>
      <c r="BV191" s="908"/>
      <c r="BW191" s="908"/>
      <c r="BX191" s="908"/>
      <c r="BY191" s="908"/>
      <c r="BZ191" s="908"/>
      <c r="CA191" s="909"/>
    </row>
    <row r="192" spans="1:109" customFormat="1" ht="15" customHeight="1" x14ac:dyDescent="0.3">
      <c r="B192" s="304" t="s">
        <v>1609</v>
      </c>
      <c r="C192" s="945"/>
      <c r="D192" s="945"/>
      <c r="E192" s="945"/>
      <c r="F192" s="945"/>
      <c r="G192" s="945"/>
      <c r="H192" s="945"/>
      <c r="I192" s="945"/>
      <c r="J192" s="945"/>
      <c r="K192" s="945"/>
      <c r="L192" s="945"/>
      <c r="M192" s="945"/>
      <c r="N192" s="945"/>
      <c r="P192" s="500"/>
      <c r="S192" s="304">
        <f>IF(C192="",0,C192)</f>
        <v>0</v>
      </c>
      <c r="T192" s="304">
        <f>IF(E192&lt;&gt;"",E192,IF(S192&gt;0,S192,0))</f>
        <v>0</v>
      </c>
      <c r="U192" s="304">
        <f>IF(G192&lt;&gt;"",G192,IF(T192&gt;0,T192,0))</f>
        <v>0</v>
      </c>
      <c r="V192" s="304">
        <f>IF(I192&lt;&gt;"",I192,IF(U192&gt;0,U192,0))</f>
        <v>0</v>
      </c>
      <c r="W192" s="304">
        <f>IF(K192&lt;&gt;"",K192,IF(V192&gt;0,V192,0))</f>
        <v>0</v>
      </c>
      <c r="X192" s="304">
        <f>IF(M192&lt;&gt;"",M192,IF(W192&gt;0,W192,0))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109" customFormat="1" ht="15" customHeight="1" x14ac:dyDescent="0.3">
      <c r="B193" s="487" t="s">
        <v>1612</v>
      </c>
      <c r="C193" s="945"/>
      <c r="D193" s="945"/>
      <c r="E193" s="945"/>
      <c r="F193" s="945"/>
      <c r="G193" s="945"/>
      <c r="H193" s="945"/>
      <c r="I193" s="945"/>
      <c r="J193" s="945"/>
      <c r="K193" s="945"/>
      <c r="L193" s="945"/>
      <c r="M193" s="945"/>
      <c r="N193" s="945"/>
      <c r="P193" s="500"/>
      <c r="S193" s="304">
        <f>IF(C193="",0,C193)</f>
        <v>0</v>
      </c>
      <c r="T193" s="304">
        <f>IF(E193&lt;&gt;"",E193,IF(S193&gt;0,S193,0))</f>
        <v>0</v>
      </c>
      <c r="U193" s="304">
        <f>IF(G193&lt;&gt;"",G193,IF(T193&gt;0,T193,0))</f>
        <v>0</v>
      </c>
      <c r="V193" s="304">
        <f>IF(I193&lt;&gt;"",I193,IF(U193&gt;0,U193,0))</f>
        <v>0</v>
      </c>
      <c r="W193" s="304">
        <f>IF(K193&lt;&gt;"",K193,IF(V193&gt;0,V193,0))</f>
        <v>0</v>
      </c>
      <c r="X193" s="304">
        <f>IF(M193&lt;&gt;"",M193,IF(W193&gt;0,W193,0))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109" customFormat="1" ht="15" customHeight="1" x14ac:dyDescent="0.3">
      <c r="B194" s="978" t="str">
        <f>IF(AD194=1,"ERROR: If radial or ulnar impairment is recorded, do not enter losses for 'both sides.'","")</f>
        <v/>
      </c>
      <c r="C194" s="979"/>
      <c r="D194" s="979"/>
      <c r="E194" s="979"/>
      <c r="F194" s="979"/>
      <c r="G194" s="979"/>
      <c r="H194" s="979"/>
      <c r="I194" s="979"/>
      <c r="J194" s="979"/>
      <c r="K194" s="979"/>
      <c r="L194" s="979"/>
      <c r="M194" s="979"/>
      <c r="N194" s="979"/>
      <c r="O194" s="980"/>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109" customFormat="1" ht="15" customHeight="1" x14ac:dyDescent="0.3">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109" customFormat="1" ht="15" customHeight="1" x14ac:dyDescent="0.3">
      <c r="B196" s="146" t="s">
        <v>1606</v>
      </c>
      <c r="C196" s="945"/>
      <c r="D196" s="945"/>
      <c r="E196" s="945"/>
      <c r="F196" s="945"/>
      <c r="G196" s="945"/>
      <c r="H196" s="945"/>
      <c r="I196" s="945"/>
      <c r="J196" s="945"/>
      <c r="K196" s="945"/>
      <c r="L196" s="945"/>
      <c r="M196" s="945"/>
      <c r="N196" s="945"/>
      <c r="P196" s="494"/>
      <c r="S196" s="304">
        <f>IF(C196="",0,C196)</f>
        <v>0</v>
      </c>
      <c r="T196" s="304">
        <f>IF(E196&lt;&gt;"",E196,IF(S196&gt;0,S196,0))</f>
        <v>0</v>
      </c>
      <c r="U196" s="304">
        <f>IF(G196&lt;&gt;"",G196,IF(T196&gt;0,T196,0))</f>
        <v>0</v>
      </c>
      <c r="V196" s="304">
        <f>IF(I196&lt;&gt;"",I196,IF(U196&gt;0,U196,0))</f>
        <v>0</v>
      </c>
      <c r="W196" s="304">
        <f>IF(K196&lt;&gt;"",K196,IF(V196&gt;0,V196,0))</f>
        <v>0</v>
      </c>
      <c r="X196" s="304">
        <f>IF(M196&lt;&gt;"",M196,IF(W196&gt;0,W196,0))</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109" customFormat="1" ht="15" customHeight="1" x14ac:dyDescent="0.3">
      <c r="B197" s="304" t="s">
        <v>1609</v>
      </c>
      <c r="C197" s="945"/>
      <c r="D197" s="945"/>
      <c r="E197" s="945"/>
      <c r="F197" s="945"/>
      <c r="G197" s="945"/>
      <c r="H197" s="945"/>
      <c r="I197" s="945"/>
      <c r="J197" s="945"/>
      <c r="K197" s="945"/>
      <c r="L197" s="945"/>
      <c r="M197" s="945"/>
      <c r="N197" s="945"/>
      <c r="P197" s="500"/>
      <c r="S197" s="304">
        <f>IF(C197="",0,C197)</f>
        <v>0</v>
      </c>
      <c r="T197" s="304">
        <f>IF(E197&lt;&gt;"",E197,IF(S197&gt;0,S197,0))</f>
        <v>0</v>
      </c>
      <c r="U197" s="304">
        <f>IF(G197&lt;&gt;"",G197,IF(T197&gt;0,T197,0))</f>
        <v>0</v>
      </c>
      <c r="V197" s="304">
        <f>IF(I197&lt;&gt;"",I197,IF(U197&gt;0,U197,0))</f>
        <v>0</v>
      </c>
      <c r="W197" s="304">
        <f>IF(K197&lt;&gt;"",K197,IF(V197&gt;0,V197,0))</f>
        <v>0</v>
      </c>
      <c r="X197" s="304">
        <f>IF(M197&lt;&gt;"",M197,IF(W197&gt;0,W197,0))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109" customFormat="1" ht="15" customHeight="1" x14ac:dyDescent="0.3">
      <c r="B198" s="487" t="s">
        <v>1612</v>
      </c>
      <c r="C198" s="945"/>
      <c r="D198" s="945"/>
      <c r="E198" s="945"/>
      <c r="F198" s="945"/>
      <c r="G198" s="945"/>
      <c r="H198" s="945"/>
      <c r="I198" s="945"/>
      <c r="J198" s="945"/>
      <c r="K198" s="945"/>
      <c r="L198" s="945"/>
      <c r="M198" s="945"/>
      <c r="N198" s="945"/>
      <c r="P198" s="500"/>
      <c r="S198" s="304">
        <f>IF(C198="",0,C198)</f>
        <v>0</v>
      </c>
      <c r="T198" s="304">
        <f>IF(E198&lt;&gt;"",E198,IF(S198&gt;0,S198,0))</f>
        <v>0</v>
      </c>
      <c r="U198" s="304">
        <f>IF(G198&lt;&gt;"",G198,IF(T198&gt;0,T198,0))</f>
        <v>0</v>
      </c>
      <c r="V198" s="304">
        <f>IF(I198&lt;&gt;"",I198,IF(U198&gt;0,U198,0))</f>
        <v>0</v>
      </c>
      <c r="W198" s="304">
        <f>IF(K198&lt;&gt;"",K198,IF(V198&gt;0,V198,0))</f>
        <v>0</v>
      </c>
      <c r="X198" s="304">
        <f>IF(M198&lt;&gt;"",M198,IF(W198&gt;0,W198,0))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109" customFormat="1" ht="15" customHeight="1" x14ac:dyDescent="0.3">
      <c r="B199" s="978" t="str">
        <f>IF(AD199=1,"ERROR: If radial or ulnar impairment is recorded, do not enter losses for 'both sides.'","")</f>
        <v/>
      </c>
      <c r="C199" s="979"/>
      <c r="D199" s="979"/>
      <c r="E199" s="979"/>
      <c r="F199" s="979"/>
      <c r="G199" s="979"/>
      <c r="H199" s="979"/>
      <c r="I199" s="979"/>
      <c r="J199" s="979"/>
      <c r="K199" s="979"/>
      <c r="L199" s="979"/>
      <c r="M199" s="979"/>
      <c r="N199" s="979"/>
      <c r="O199" s="980"/>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109" ht="12" customHeight="1" x14ac:dyDescent="0.3">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3">
      <c r="B201" s="50" t="s">
        <v>1232</v>
      </c>
      <c r="C201" s="925" t="s">
        <v>1370</v>
      </c>
      <c r="D201" s="925"/>
      <c r="E201" s="925"/>
      <c r="F201" s="925"/>
      <c r="G201" s="925"/>
      <c r="H201" s="925" t="s">
        <v>1795</v>
      </c>
      <c r="I201" s="925"/>
      <c r="J201" s="925"/>
      <c r="K201" s="18"/>
      <c r="L201" s="925" t="s">
        <v>1233</v>
      </c>
      <c r="M201" s="925"/>
      <c r="N201" s="925"/>
      <c r="O201" s="925"/>
      <c r="P201" s="770">
        <f>V203</f>
        <v>0</v>
      </c>
      <c r="R201" s="10"/>
      <c r="S201" s="569" t="s">
        <v>1596</v>
      </c>
      <c r="T201" s="569" t="s">
        <v>1304</v>
      </c>
      <c r="U201" s="569" t="s">
        <v>1305</v>
      </c>
      <c r="V201" s="568" t="s">
        <v>1306</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3">
      <c r="B202" s="146" t="s">
        <v>546</v>
      </c>
      <c r="C202" s="933"/>
      <c r="D202" s="933"/>
      <c r="E202" s="933"/>
      <c r="F202" s="933"/>
      <c r="G202" s="933"/>
      <c r="H202" s="936">
        <f>IF(C202=$X$127,0.09,IF(C202=$Y$127,0.18,IF(C202=$Z$127,0.27,0)))</f>
        <v>0</v>
      </c>
      <c r="I202" s="936"/>
      <c r="J202" s="936"/>
      <c r="K202" s="146"/>
      <c r="L202" s="933"/>
      <c r="M202" s="933"/>
      <c r="N202" s="933"/>
      <c r="O202" s="21">
        <f>IF(H202&gt;=S202,H202-S202,0)</f>
        <v>0</v>
      </c>
      <c r="P202" s="770"/>
      <c r="R202" s="10"/>
      <c r="S202" s="147">
        <f>IF(L202=$Y$128,0.09,IF(L202=$Z$128,0.18,IF(L202=$AA$128,0.27,0)))</f>
        <v>0</v>
      </c>
      <c r="T202" s="147">
        <f>LARGE(O202:O204,1)</f>
        <v>0</v>
      </c>
      <c r="U202" s="553">
        <f>T202+T203*(1-T202)</f>
        <v>0</v>
      </c>
      <c r="V202" s="553">
        <f>ROUND(U202,2)</f>
        <v>0</v>
      </c>
      <c r="W202" s="878" t="s">
        <v>2196</v>
      </c>
      <c r="X202" s="878"/>
      <c r="Y202" s="878"/>
      <c r="Z202" s="878"/>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3">
      <c r="B203" s="50" t="s">
        <v>547</v>
      </c>
      <c r="C203" s="933"/>
      <c r="D203" s="933"/>
      <c r="E203" s="933"/>
      <c r="F203" s="933"/>
      <c r="G203" s="933"/>
      <c r="H203" s="936">
        <f>IF(C203=$X$127,0.16,IF(C203=$Y$127,0.32,IF(C203=$Z$127,0.48,0)))</f>
        <v>0</v>
      </c>
      <c r="I203" s="936"/>
      <c r="J203" s="936"/>
      <c r="K203" s="146"/>
      <c r="L203" s="933"/>
      <c r="M203" s="933"/>
      <c r="N203" s="933"/>
      <c r="O203" s="21">
        <f>IF(H203&gt;=S203,H203-S203,0)</f>
        <v>0</v>
      </c>
      <c r="P203" s="77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3">
      <c r="B204" s="50" t="s">
        <v>548</v>
      </c>
      <c r="C204" s="933"/>
      <c r="D204" s="933"/>
      <c r="E204" s="933"/>
      <c r="F204" s="933"/>
      <c r="G204" s="933"/>
      <c r="H204" s="936">
        <f>IF(C204=$X$127,0.2,IF(C204=$Y$127,0.4,IF(C204=$Z$127,0.6,0)))</f>
        <v>0</v>
      </c>
      <c r="I204" s="936"/>
      <c r="J204" s="936"/>
      <c r="K204" s="146"/>
      <c r="L204" s="933"/>
      <c r="M204" s="933"/>
      <c r="N204" s="933"/>
      <c r="O204" s="21">
        <f>IF(H204&gt;=S204,H204-S204,0)</f>
        <v>0</v>
      </c>
      <c r="P204" s="77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3">
      <c r="B205" s="961"/>
      <c r="C205" s="961"/>
      <c r="D205" s="961"/>
      <c r="E205" s="961"/>
      <c r="F205" s="961"/>
      <c r="G205" s="961"/>
      <c r="H205" s="961"/>
      <c r="I205" s="961"/>
      <c r="J205" s="961"/>
      <c r="K205" s="961"/>
      <c r="L205" s="961"/>
      <c r="M205" s="961"/>
      <c r="N205" s="961"/>
      <c r="O205" s="961"/>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3">
      <c r="A206" s="15"/>
      <c r="B206" s="776" t="s">
        <v>968</v>
      </c>
      <c r="C206" s="930"/>
      <c r="D206" s="931"/>
      <c r="E206" s="757" t="s">
        <v>573</v>
      </c>
      <c r="F206" s="758"/>
      <c r="G206" s="758"/>
      <c r="H206" s="758"/>
      <c r="I206" s="758"/>
      <c r="J206" s="758"/>
      <c r="K206" s="758"/>
      <c r="L206" s="758"/>
      <c r="M206" s="758"/>
      <c r="N206" s="758"/>
      <c r="O206" s="759"/>
      <c r="P206" s="248">
        <f>IF(T206=1,0.15,0)</f>
        <v>0</v>
      </c>
      <c r="R206" s="947"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3">
      <c r="B207" s="776"/>
      <c r="C207" s="930"/>
      <c r="D207" s="931"/>
      <c r="E207" s="757" t="s">
        <v>574</v>
      </c>
      <c r="F207" s="758"/>
      <c r="G207" s="758"/>
      <c r="H207" s="758"/>
      <c r="I207" s="758"/>
      <c r="J207" s="758"/>
      <c r="K207" s="758"/>
      <c r="L207" s="758"/>
      <c r="M207" s="758"/>
      <c r="N207" s="758"/>
      <c r="O207" s="759"/>
      <c r="P207" s="248">
        <f>IF(T207=1,0.25,0)</f>
        <v>0</v>
      </c>
      <c r="R207" s="947"/>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3">
      <c r="B208" s="776"/>
      <c r="C208" s="930"/>
      <c r="D208" s="931"/>
      <c r="E208" s="757" t="s">
        <v>788</v>
      </c>
      <c r="F208" s="758"/>
      <c r="G208" s="758"/>
      <c r="H208" s="758"/>
      <c r="I208" s="758"/>
      <c r="J208" s="758"/>
      <c r="K208" s="758"/>
      <c r="L208" s="758"/>
      <c r="M208" s="758"/>
      <c r="N208" s="758"/>
      <c r="O208" s="759"/>
      <c r="P208" s="248">
        <f>IF(T208=1,0.23,0)</f>
        <v>0</v>
      </c>
      <c r="R208" s="947"/>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3">
      <c r="B209" s="792"/>
      <c r="C209" s="792"/>
      <c r="D209" s="792"/>
      <c r="E209" s="792"/>
      <c r="F209" s="792"/>
      <c r="G209" s="792"/>
      <c r="H209" s="792"/>
      <c r="I209" s="792"/>
      <c r="J209" s="792"/>
      <c r="K209" s="792"/>
      <c r="L209" s="792"/>
      <c r="M209" s="792"/>
      <c r="N209" s="792"/>
      <c r="O209" s="792"/>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3">
      <c r="B210" s="932" t="s">
        <v>1451</v>
      </c>
      <c r="C210" s="932"/>
      <c r="D210" s="932"/>
      <c r="E210" s="932"/>
      <c r="F210" s="932"/>
      <c r="G210" s="932"/>
      <c r="H210" s="932"/>
      <c r="I210" s="932"/>
      <c r="J210" s="932"/>
      <c r="K210" s="932"/>
      <c r="L210" s="932"/>
      <c r="M210" s="932"/>
      <c r="N210" s="932"/>
      <c r="O210" s="317"/>
      <c r="P210" s="21">
        <f>SUMIF(T210:X210,O210,T211:X211)</f>
        <v>0</v>
      </c>
      <c r="R210" s="951" t="s">
        <v>2196</v>
      </c>
      <c r="S210" s="951"/>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3">
      <c r="B211" s="932" t="s">
        <v>1498</v>
      </c>
      <c r="C211" s="932"/>
      <c r="D211" s="932"/>
      <c r="E211" s="932"/>
      <c r="F211" s="932"/>
      <c r="G211" s="932"/>
      <c r="H211" s="932"/>
      <c r="I211" s="932"/>
      <c r="J211" s="932"/>
      <c r="K211" s="932"/>
      <c r="L211" s="932"/>
      <c r="M211" s="932"/>
      <c r="N211" s="932"/>
      <c r="O211" s="317"/>
      <c r="P211" s="21">
        <f>SUMIF(Z210:AD210,O211,Z211:AD211)</f>
        <v>0</v>
      </c>
      <c r="R211" s="951"/>
      <c r="S211" s="951"/>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3">
      <c r="B212" s="792"/>
      <c r="C212" s="792"/>
      <c r="D212" s="792"/>
      <c r="E212" s="792"/>
      <c r="F212" s="792"/>
      <c r="G212" s="792"/>
      <c r="H212" s="792"/>
      <c r="I212" s="792"/>
      <c r="J212" s="792"/>
      <c r="K212" s="792"/>
      <c r="L212" s="792"/>
      <c r="M212" s="792"/>
      <c r="N212" s="792"/>
      <c r="O212" s="792"/>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3">
      <c r="B213" s="792"/>
      <c r="C213" s="792"/>
      <c r="D213" s="792"/>
      <c r="E213" s="792"/>
      <c r="F213" s="792"/>
      <c r="G213" s="792"/>
      <c r="H213" s="792"/>
      <c r="I213" s="792"/>
      <c r="J213" s="792"/>
      <c r="K213" s="792"/>
      <c r="L213" s="792"/>
      <c r="M213" s="792"/>
      <c r="N213" s="792"/>
      <c r="O213" s="792"/>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3">
      <c r="B214" s="879" t="s">
        <v>118</v>
      </c>
      <c r="C214" s="880"/>
      <c r="D214" s="880"/>
      <c r="E214" s="880"/>
      <c r="F214" s="880"/>
      <c r="G214" s="922" t="s">
        <v>1524</v>
      </c>
      <c r="H214" s="941"/>
      <c r="I214" s="941"/>
      <c r="J214" s="942"/>
      <c r="K214" s="1003"/>
      <c r="L214" s="1004"/>
      <c r="M214" s="1004"/>
      <c r="N214" s="1004"/>
      <c r="O214" s="1005"/>
      <c r="P214" s="872">
        <f>U228</f>
        <v>0</v>
      </c>
      <c r="R214" s="146" t="s">
        <v>1864</v>
      </c>
      <c r="S214" s="50" t="s">
        <v>1304</v>
      </c>
      <c r="T214" s="50" t="s">
        <v>1305</v>
      </c>
      <c r="U214" s="50" t="s">
        <v>1306</v>
      </c>
      <c r="V214" s="940" t="s">
        <v>801</v>
      </c>
      <c r="W214" s="941"/>
      <c r="X214" s="942"/>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3">
      <c r="B215" s="937" t="s">
        <v>628</v>
      </c>
      <c r="C215" s="938"/>
      <c r="D215" s="939"/>
      <c r="E215" s="1090">
        <f>P157</f>
        <v>0</v>
      </c>
      <c r="F215" s="1091"/>
      <c r="G215" s="925" t="s">
        <v>1941</v>
      </c>
      <c r="H215" s="925"/>
      <c r="I215" s="949"/>
      <c r="J215" s="949"/>
      <c r="K215" s="1006"/>
      <c r="L215" s="1007"/>
      <c r="M215" s="1007"/>
      <c r="N215" s="1007"/>
      <c r="O215" s="1008"/>
      <c r="P215" s="1010"/>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3">
      <c r="B216" s="757" t="s">
        <v>382</v>
      </c>
      <c r="C216" s="758"/>
      <c r="D216" s="759"/>
      <c r="E216" s="770">
        <f>P160</f>
        <v>0</v>
      </c>
      <c r="F216" s="770"/>
      <c r="G216" s="925" t="s">
        <v>1941</v>
      </c>
      <c r="H216" s="925"/>
      <c r="I216" s="949"/>
      <c r="J216" s="949"/>
      <c r="K216" s="1006"/>
      <c r="L216" s="1007"/>
      <c r="M216" s="1007"/>
      <c r="N216" s="1007"/>
      <c r="O216" s="1008"/>
      <c r="P216" s="1010"/>
      <c r="R216" s="557">
        <f>E216</f>
        <v>0</v>
      </c>
      <c r="S216" s="147">
        <f>LARGE($R$215:$R$229,2)</f>
        <v>0</v>
      </c>
      <c r="T216" s="553">
        <f>U215+S217*(1-U215)</f>
        <v>0</v>
      </c>
      <c r="U216" s="557">
        <f t="shared" si="26"/>
        <v>0</v>
      </c>
      <c r="V216" s="50">
        <f>IF(E216&gt;0,2,0)</f>
        <v>0</v>
      </c>
      <c r="W216" s="50">
        <f>COUNTIF(V215:V229,2)</f>
        <v>0</v>
      </c>
      <c r="X216" s="10"/>
      <c r="Y216" s="10" t="s">
        <v>511</v>
      </c>
      <c r="AA216" s="792"/>
      <c r="AB216" s="792"/>
      <c r="AC216" s="792"/>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3">
      <c r="B217" s="757" t="s">
        <v>1958</v>
      </c>
      <c r="C217" s="758"/>
      <c r="D217" s="759"/>
      <c r="E217" s="770">
        <f>IF(E607&gt;0,0,P165)</f>
        <v>0</v>
      </c>
      <c r="F217" s="770"/>
      <c r="G217" s="1095" t="s">
        <v>2256</v>
      </c>
      <c r="H217" s="1095"/>
      <c r="I217" s="949"/>
      <c r="J217" s="949"/>
      <c r="K217" s="1006"/>
      <c r="L217" s="1007"/>
      <c r="M217" s="1007"/>
      <c r="N217" s="1007"/>
      <c r="O217" s="1008"/>
      <c r="P217" s="1010"/>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2"/>
      <c r="AB217" s="792"/>
      <c r="AC217" s="792"/>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3">
      <c r="B218" s="806" t="s">
        <v>1416</v>
      </c>
      <c r="C218" s="806"/>
      <c r="D218" s="806"/>
      <c r="E218" s="742">
        <f>P182</f>
        <v>0</v>
      </c>
      <c r="F218" s="744"/>
      <c r="G218" s="935"/>
      <c r="H218" s="935"/>
      <c r="I218" s="936">
        <f t="shared" ref="I218:I224" si="29">IF(AND(Y218&lt;0.01,Y218&gt;0),0.01,ROUND(Y218,2))</f>
        <v>0</v>
      </c>
      <c r="J218" s="936"/>
      <c r="K218" s="1006"/>
      <c r="L218" s="1007"/>
      <c r="M218" s="1007"/>
      <c r="N218" s="1007"/>
      <c r="O218" s="1008"/>
      <c r="P218" s="1010"/>
      <c r="R218" s="557">
        <f t="shared" si="27"/>
        <v>0</v>
      </c>
      <c r="S218" s="147">
        <f>LARGE($R$215:$R$229,4)</f>
        <v>0</v>
      </c>
      <c r="T218" s="553">
        <f t="shared" ref="T218:T228" si="30">U217+S219*(1-U217)</f>
        <v>0</v>
      </c>
      <c r="U218" s="557">
        <f t="shared" si="26"/>
        <v>0</v>
      </c>
      <c r="V218" s="50">
        <f t="shared" si="28"/>
        <v>0</v>
      </c>
      <c r="W218" s="10"/>
      <c r="X218" s="10"/>
      <c r="Y218" s="294">
        <f>E218*G218</f>
        <v>0</v>
      </c>
      <c r="Z218" s="604"/>
      <c r="AA218" s="792"/>
      <c r="AB218" s="792"/>
      <c r="AC218" s="792"/>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3">
      <c r="B219" s="757" t="s">
        <v>1417</v>
      </c>
      <c r="C219" s="758"/>
      <c r="D219" s="759"/>
      <c r="E219" s="742">
        <f>P183</f>
        <v>0</v>
      </c>
      <c r="F219" s="744"/>
      <c r="G219" s="935"/>
      <c r="H219" s="935"/>
      <c r="I219" s="936">
        <f t="shared" si="29"/>
        <v>0</v>
      </c>
      <c r="J219" s="936"/>
      <c r="K219" s="1006"/>
      <c r="L219" s="1007"/>
      <c r="M219" s="1007"/>
      <c r="N219" s="1007"/>
      <c r="O219" s="1008"/>
      <c r="P219" s="1010"/>
      <c r="R219" s="557">
        <f t="shared" si="27"/>
        <v>0</v>
      </c>
      <c r="S219" s="147">
        <f>LARGE($R$215:$R$229,5)</f>
        <v>0</v>
      </c>
      <c r="T219" s="553">
        <f t="shared" si="30"/>
        <v>0</v>
      </c>
      <c r="U219" s="557">
        <f t="shared" si="26"/>
        <v>0</v>
      </c>
      <c r="V219" s="50">
        <f t="shared" si="28"/>
        <v>0</v>
      </c>
      <c r="W219" s="10"/>
      <c r="X219" s="10"/>
      <c r="Y219" s="294">
        <f t="shared" ref="Y219:Y224" si="31">E219*G219</f>
        <v>0</v>
      </c>
      <c r="Z219" s="604"/>
      <c r="AA219" s="792"/>
      <c r="AB219" s="792"/>
      <c r="AC219" s="792"/>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3">
      <c r="B220" s="757" t="s">
        <v>1418</v>
      </c>
      <c r="C220" s="758"/>
      <c r="D220" s="759"/>
      <c r="E220" s="742">
        <f>P184</f>
        <v>0</v>
      </c>
      <c r="F220" s="744"/>
      <c r="G220" s="935"/>
      <c r="H220" s="935"/>
      <c r="I220" s="936">
        <f t="shared" si="29"/>
        <v>0</v>
      </c>
      <c r="J220" s="936"/>
      <c r="K220" s="1006"/>
      <c r="L220" s="1007"/>
      <c r="M220" s="1007"/>
      <c r="N220" s="1007"/>
      <c r="O220" s="1008"/>
      <c r="P220" s="1010"/>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3">
      <c r="B221" s="757" t="s">
        <v>1419</v>
      </c>
      <c r="C221" s="758"/>
      <c r="D221" s="759"/>
      <c r="E221" s="742">
        <f>P185</f>
        <v>0</v>
      </c>
      <c r="F221" s="744"/>
      <c r="G221" s="935"/>
      <c r="H221" s="935"/>
      <c r="I221" s="936">
        <f t="shared" si="29"/>
        <v>0</v>
      </c>
      <c r="J221" s="936"/>
      <c r="K221" s="1006"/>
      <c r="L221" s="1007"/>
      <c r="M221" s="1007"/>
      <c r="N221" s="1007"/>
      <c r="O221" s="1008"/>
      <c r="P221" s="1010"/>
      <c r="R221" s="557">
        <f t="shared" si="27"/>
        <v>0</v>
      </c>
      <c r="S221" s="147">
        <f>LARGE($R$215:$R$229,7)</f>
        <v>0</v>
      </c>
      <c r="T221" s="553">
        <f t="shared" si="30"/>
        <v>0</v>
      </c>
      <c r="U221" s="557">
        <f t="shared" si="26"/>
        <v>0</v>
      </c>
      <c r="V221" s="50">
        <f t="shared" si="28"/>
        <v>0</v>
      </c>
      <c r="W221" s="10"/>
      <c r="X221" s="10"/>
      <c r="Y221" s="294">
        <f t="shared" si="31"/>
        <v>0</v>
      </c>
      <c r="Z221" s="604"/>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3">
      <c r="B222" s="757" t="s">
        <v>1985</v>
      </c>
      <c r="C222" s="758"/>
      <c r="D222" s="759"/>
      <c r="E222" s="770">
        <f>P194</f>
        <v>0</v>
      </c>
      <c r="F222" s="770"/>
      <c r="G222" s="935"/>
      <c r="H222" s="935"/>
      <c r="I222" s="936">
        <f t="shared" si="29"/>
        <v>0</v>
      </c>
      <c r="J222" s="936"/>
      <c r="K222" s="1006"/>
      <c r="L222" s="1007"/>
      <c r="M222" s="1007"/>
      <c r="N222" s="1007"/>
      <c r="O222" s="1008"/>
      <c r="P222" s="1010"/>
      <c r="R222" s="557">
        <f t="shared" si="27"/>
        <v>0</v>
      </c>
      <c r="S222" s="147">
        <f>LARGE($R$215:$R$229,8)</f>
        <v>0</v>
      </c>
      <c r="T222" s="553">
        <f t="shared" si="30"/>
        <v>0</v>
      </c>
      <c r="U222" s="557">
        <f t="shared" si="26"/>
        <v>0</v>
      </c>
      <c r="V222" s="50">
        <f t="shared" si="28"/>
        <v>0</v>
      </c>
      <c r="W222" s="10"/>
      <c r="X222" s="10"/>
      <c r="Y222" s="294">
        <f t="shared" si="31"/>
        <v>0</v>
      </c>
      <c r="Z222" s="604"/>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3">
      <c r="B223" s="757" t="s">
        <v>1226</v>
      </c>
      <c r="C223" s="758"/>
      <c r="D223" s="759"/>
      <c r="E223" s="770">
        <f>P199</f>
        <v>0</v>
      </c>
      <c r="F223" s="770"/>
      <c r="G223" s="935"/>
      <c r="H223" s="935"/>
      <c r="I223" s="936">
        <f t="shared" si="29"/>
        <v>0</v>
      </c>
      <c r="J223" s="936"/>
      <c r="K223" s="633"/>
      <c r="L223" s="634"/>
      <c r="M223" s="634"/>
      <c r="N223" s="634"/>
      <c r="O223" s="635"/>
      <c r="P223" s="1010"/>
      <c r="R223" s="557">
        <f t="shared" si="27"/>
        <v>0</v>
      </c>
      <c r="S223" s="147">
        <f>LARGE($R$215:$R$229,9)</f>
        <v>0</v>
      </c>
      <c r="T223" s="553">
        <f t="shared" si="30"/>
        <v>0</v>
      </c>
      <c r="U223" s="557">
        <f t="shared" si="26"/>
        <v>0</v>
      </c>
      <c r="V223" s="50">
        <f t="shared" si="28"/>
        <v>0</v>
      </c>
      <c r="W223" s="10"/>
      <c r="X223" s="10"/>
      <c r="Y223" s="294">
        <f t="shared" si="31"/>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3">
      <c r="B224" s="757" t="s">
        <v>1232</v>
      </c>
      <c r="C224" s="758"/>
      <c r="D224" s="759"/>
      <c r="E224" s="770">
        <f>P201</f>
        <v>0</v>
      </c>
      <c r="F224" s="770"/>
      <c r="G224" s="935"/>
      <c r="H224" s="935"/>
      <c r="I224" s="936">
        <f t="shared" si="29"/>
        <v>0</v>
      </c>
      <c r="J224" s="936"/>
      <c r="K224" s="633"/>
      <c r="L224" s="634"/>
      <c r="M224" s="634"/>
      <c r="N224" s="634"/>
      <c r="O224" s="635"/>
      <c r="P224" s="1010"/>
      <c r="R224" s="557">
        <f t="shared" si="27"/>
        <v>0</v>
      </c>
      <c r="S224" s="147">
        <f>LARGE($R$215:$R$229,10)</f>
        <v>0</v>
      </c>
      <c r="T224" s="553">
        <f t="shared" si="30"/>
        <v>0</v>
      </c>
      <c r="U224" s="557">
        <f t="shared" si="26"/>
        <v>0</v>
      </c>
      <c r="V224" s="50">
        <f t="shared" si="28"/>
        <v>0</v>
      </c>
      <c r="W224" s="10"/>
      <c r="X224" s="10"/>
      <c r="Y224" s="294">
        <f t="shared" si="31"/>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3">
      <c r="B225" s="757" t="s">
        <v>383</v>
      </c>
      <c r="C225" s="758"/>
      <c r="D225" s="759"/>
      <c r="E225" s="770">
        <f>P206</f>
        <v>0</v>
      </c>
      <c r="F225" s="770"/>
      <c r="G225" s="925" t="s">
        <v>1941</v>
      </c>
      <c r="H225" s="925"/>
      <c r="I225" s="949"/>
      <c r="J225" s="949"/>
      <c r="K225" s="972" t="str">
        <f>IF(AND(P165&gt;0,E607&gt;0),"A value has been granted for motor loss. Additional impairment value is not allowed for reduced ROM in the same extremity.","")</f>
        <v/>
      </c>
      <c r="L225" s="973"/>
      <c r="M225" s="973"/>
      <c r="N225" s="973"/>
      <c r="O225" s="974"/>
      <c r="P225" s="1010"/>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3">
      <c r="B226" s="757" t="s">
        <v>384</v>
      </c>
      <c r="C226" s="758"/>
      <c r="D226" s="759"/>
      <c r="E226" s="770">
        <f>P207</f>
        <v>0</v>
      </c>
      <c r="F226" s="770"/>
      <c r="G226" s="925" t="s">
        <v>1941</v>
      </c>
      <c r="H226" s="925"/>
      <c r="I226" s="949"/>
      <c r="J226" s="949"/>
      <c r="K226" s="972"/>
      <c r="L226" s="973"/>
      <c r="M226" s="973"/>
      <c r="N226" s="973"/>
      <c r="O226" s="974"/>
      <c r="P226" s="1010"/>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3">
      <c r="B227" s="757" t="s">
        <v>807</v>
      </c>
      <c r="C227" s="758"/>
      <c r="D227" s="759"/>
      <c r="E227" s="770">
        <f>P208</f>
        <v>0</v>
      </c>
      <c r="F227" s="770"/>
      <c r="G227" s="925" t="s">
        <v>1941</v>
      </c>
      <c r="H227" s="925"/>
      <c r="I227" s="949"/>
      <c r="J227" s="949"/>
      <c r="K227" s="972"/>
      <c r="L227" s="973"/>
      <c r="M227" s="973"/>
      <c r="N227" s="973"/>
      <c r="O227" s="974"/>
      <c r="P227" s="1010"/>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3">
      <c r="B228" s="757" t="s">
        <v>1446</v>
      </c>
      <c r="C228" s="758"/>
      <c r="D228" s="759"/>
      <c r="E228" s="770">
        <f>P210</f>
        <v>0</v>
      </c>
      <c r="F228" s="770"/>
      <c r="G228" s="935"/>
      <c r="H228" s="935"/>
      <c r="I228" s="936">
        <f>IF(AND(Y228&lt;0.01,Y228&gt;0),0.01,ROUND(Y228,2))</f>
        <v>0</v>
      </c>
      <c r="J228" s="936"/>
      <c r="K228" s="972"/>
      <c r="L228" s="973"/>
      <c r="M228" s="973"/>
      <c r="N228" s="973"/>
      <c r="O228" s="974"/>
      <c r="P228" s="1010"/>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3">
      <c r="B229" s="804" t="s">
        <v>1253</v>
      </c>
      <c r="C229" s="804"/>
      <c r="D229" s="804"/>
      <c r="E229" s="872">
        <f>P211</f>
        <v>0</v>
      </c>
      <c r="F229" s="1079"/>
      <c r="G229" s="1009"/>
      <c r="H229" s="1009"/>
      <c r="I229" s="992">
        <f>IF(AND(Y229&lt;0.01,Y229&gt;0),0.01,ROUND(Y229,2))</f>
        <v>0</v>
      </c>
      <c r="J229" s="992"/>
      <c r="K229" s="975"/>
      <c r="L229" s="976"/>
      <c r="M229" s="976"/>
      <c r="N229" s="976"/>
      <c r="O229" s="977"/>
      <c r="P229" s="1010"/>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3">
      <c r="B230" s="959" t="s">
        <v>2252</v>
      </c>
      <c r="C230" s="959"/>
      <c r="D230" s="959"/>
      <c r="E230" s="959"/>
      <c r="F230" s="959"/>
      <c r="G230" s="959"/>
      <c r="H230" s="959"/>
      <c r="I230" s="959"/>
      <c r="J230" s="959"/>
      <c r="K230" s="959"/>
      <c r="L230" s="959"/>
      <c r="M230" s="959"/>
      <c r="N230" s="959"/>
      <c r="O230" s="959"/>
      <c r="P230" s="996"/>
      <c r="S230" s="14"/>
      <c r="T230" s="142"/>
      <c r="U230" s="129"/>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3">
      <c r="B231" s="792"/>
      <c r="C231" s="792"/>
      <c r="D231" s="792"/>
      <c r="E231" s="792"/>
      <c r="F231" s="792"/>
      <c r="G231" s="792"/>
      <c r="H231" s="792"/>
      <c r="I231" s="792"/>
      <c r="J231" s="792"/>
      <c r="K231" s="792"/>
      <c r="L231" s="792"/>
      <c r="M231" s="792"/>
      <c r="N231" s="792"/>
      <c r="O231" s="792"/>
      <c r="P231" s="792"/>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3">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3">
      <c r="B233" s="907" t="s">
        <v>119</v>
      </c>
      <c r="C233" s="908"/>
      <c r="D233" s="908"/>
      <c r="E233" s="908"/>
      <c r="F233" s="908"/>
      <c r="G233" s="908"/>
      <c r="H233" s="908"/>
      <c r="I233" s="908"/>
      <c r="J233" s="908"/>
      <c r="K233" s="908"/>
      <c r="L233" s="908"/>
      <c r="M233" s="908"/>
      <c r="N233" s="908"/>
      <c r="O233" s="908"/>
      <c r="P233" s="909"/>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3">
      <c r="B234" s="791" t="s">
        <v>1454</v>
      </c>
      <c r="C234" s="791"/>
      <c r="D234" s="791"/>
      <c r="E234" s="791"/>
      <c r="F234" s="791"/>
      <c r="G234" s="791"/>
      <c r="H234" s="791"/>
      <c r="I234" s="791"/>
      <c r="J234" s="791"/>
      <c r="K234" s="791"/>
      <c r="L234" s="791"/>
      <c r="M234" s="791"/>
      <c r="N234" s="791"/>
      <c r="O234" s="791"/>
      <c r="P234" s="992">
        <f>SUMIF(S234:Y234,B235,S235:Y235)</f>
        <v>0</v>
      </c>
      <c r="R234" s="950"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3">
      <c r="B235" s="1014"/>
      <c r="C235" s="1014"/>
      <c r="D235" s="1014"/>
      <c r="E235" s="1014"/>
      <c r="F235" s="1014"/>
      <c r="G235" s="1014"/>
      <c r="H235" s="1014"/>
      <c r="I235" s="1014"/>
      <c r="J235" s="1014"/>
      <c r="K235" s="1014"/>
      <c r="L235" s="1014"/>
      <c r="M235" s="1014"/>
      <c r="N235" s="1014"/>
      <c r="O235" s="1014"/>
      <c r="P235" s="1082"/>
      <c r="R235" s="791"/>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3">
      <c r="B236" s="981" t="str">
        <f>IF(AND(P234&gt;0.1,B238=""),"Enter specific level of amputation or shortening below.","")</f>
        <v/>
      </c>
      <c r="C236" s="981"/>
      <c r="D236" s="981"/>
      <c r="E236" s="981"/>
      <c r="F236" s="981"/>
      <c r="G236" s="981"/>
      <c r="H236" s="981"/>
      <c r="I236" s="981"/>
      <c r="J236" s="981"/>
      <c r="K236" s="981"/>
      <c r="L236" s="981"/>
      <c r="M236" s="981"/>
      <c r="N236" s="981"/>
      <c r="O236" s="981"/>
      <c r="P236" s="981"/>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3">
      <c r="B237" s="776" t="s">
        <v>1675</v>
      </c>
      <c r="C237" s="776"/>
      <c r="D237" s="776"/>
      <c r="E237" s="776"/>
      <c r="F237" s="776"/>
      <c r="G237" s="776"/>
      <c r="H237" s="776"/>
      <c r="I237" s="776"/>
      <c r="J237" s="776"/>
      <c r="K237" s="776"/>
      <c r="L237" s="776"/>
      <c r="M237" s="776"/>
      <c r="N237" s="776"/>
      <c r="O237" s="776"/>
      <c r="P237" s="992">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3">
      <c r="B238" s="1014"/>
      <c r="C238" s="1014"/>
      <c r="D238" s="1014"/>
      <c r="E238" s="1014"/>
      <c r="F238" s="1014"/>
      <c r="G238" s="1014"/>
      <c r="H238" s="1014"/>
      <c r="I238" s="1014"/>
      <c r="J238" s="1014"/>
      <c r="K238" s="1014"/>
      <c r="L238" s="1014"/>
      <c r="M238" s="1014"/>
      <c r="N238" s="1014"/>
      <c r="O238" s="1014"/>
      <c r="P238" s="1081"/>
      <c r="R238" s="77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3">
      <c r="B239" s="1042" t="s">
        <v>680</v>
      </c>
      <c r="C239" s="1043"/>
      <c r="D239" s="1043"/>
      <c r="E239" s="1043"/>
      <c r="F239" s="1043"/>
      <c r="G239" s="1043"/>
      <c r="H239" s="1043"/>
      <c r="I239" s="1043"/>
      <c r="J239" s="1043"/>
      <c r="K239" s="1043"/>
      <c r="L239" s="1043"/>
      <c r="M239" s="1043"/>
      <c r="N239" s="1043"/>
      <c r="O239" s="1044"/>
      <c r="P239" s="1082"/>
      <c r="R239" s="77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3">
      <c r="B240" s="792"/>
      <c r="C240" s="792"/>
      <c r="D240" s="792"/>
      <c r="E240" s="792"/>
      <c r="F240" s="792"/>
      <c r="G240" s="792"/>
      <c r="H240" s="792"/>
      <c r="I240" s="792"/>
      <c r="J240" s="792"/>
      <c r="K240" s="792"/>
      <c r="L240" s="792"/>
      <c r="M240" s="792"/>
      <c r="N240" s="792"/>
      <c r="O240" s="792"/>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3">
      <c r="B241" s="925" t="s">
        <v>1594</v>
      </c>
      <c r="C241" s="925"/>
      <c r="D241" s="925"/>
      <c r="E241" s="925"/>
      <c r="F241" s="925"/>
      <c r="G241" s="925"/>
      <c r="H241" s="925"/>
      <c r="I241" s="925"/>
      <c r="J241" s="925"/>
      <c r="K241" s="925"/>
      <c r="L241" s="925"/>
      <c r="M241" s="925"/>
      <c r="N241" s="925"/>
      <c r="O241" s="925"/>
      <c r="P241" s="770">
        <f>IF(R254=1,"ERROR",IF(AND(AD245&gt;0,AD245&lt;0.01),0.01,ROUND(AD245,2)))</f>
        <v>0</v>
      </c>
      <c r="R241" s="10"/>
      <c r="S241" s="10"/>
      <c r="T241" s="776" t="s">
        <v>1257</v>
      </c>
      <c r="U241" s="776" t="s">
        <v>1257</v>
      </c>
      <c r="V241" s="10"/>
      <c r="W241" s="10"/>
      <c r="X241" s="10"/>
      <c r="Y241" s="10"/>
      <c r="Z241" s="10"/>
      <c r="AA241" s="10"/>
      <c r="AB241" s="10"/>
      <c r="AC241" s="739"/>
      <c r="AD241" s="739"/>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3">
      <c r="B242" s="20" t="s">
        <v>1568</v>
      </c>
      <c r="C242" s="847" t="s">
        <v>1595</v>
      </c>
      <c r="D242" s="847"/>
      <c r="E242" s="847"/>
      <c r="F242" s="847"/>
      <c r="G242" s="1137" t="s">
        <v>1081</v>
      </c>
      <c r="H242" s="1137"/>
      <c r="I242" s="1137"/>
      <c r="J242" s="1137"/>
      <c r="K242" s="847"/>
      <c r="L242" s="847"/>
      <c r="M242" s="847"/>
      <c r="N242" s="847"/>
      <c r="O242" s="1098"/>
      <c r="P242" s="770"/>
      <c r="R242" s="10"/>
      <c r="S242" s="10"/>
      <c r="T242" s="776"/>
      <c r="U242" s="776"/>
      <c r="V242" s="10"/>
      <c r="W242" s="10"/>
      <c r="X242" s="10"/>
      <c r="Y242" s="10"/>
      <c r="Z242" s="10"/>
      <c r="AA242" s="984" t="s">
        <v>2258</v>
      </c>
      <c r="AB242" s="985"/>
      <c r="AC242" s="985"/>
      <c r="AD242" s="986"/>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3">
      <c r="B243" s="18"/>
      <c r="C243" s="925" t="s">
        <v>365</v>
      </c>
      <c r="D243" s="925"/>
      <c r="E243" s="925" t="s">
        <v>1795</v>
      </c>
      <c r="F243" s="925"/>
      <c r="G243" s="925" t="s">
        <v>365</v>
      </c>
      <c r="H243" s="925"/>
      <c r="I243" s="925" t="s">
        <v>1795</v>
      </c>
      <c r="J243" s="925"/>
      <c r="K243" s="925"/>
      <c r="L243" s="925"/>
      <c r="M243" s="925"/>
      <c r="N243" s="925"/>
      <c r="O243" s="940"/>
      <c r="P243" s="770"/>
      <c r="R243" s="10"/>
      <c r="S243" s="50" t="s">
        <v>1654</v>
      </c>
      <c r="T243" s="259" t="s">
        <v>1595</v>
      </c>
      <c r="U243" s="259" t="s">
        <v>1596</v>
      </c>
      <c r="V243" s="925" t="s">
        <v>1083</v>
      </c>
      <c r="W243" s="925"/>
      <c r="X243" s="925"/>
      <c r="Y243" s="925"/>
      <c r="AA243" s="987"/>
      <c r="AB243" s="712"/>
      <c r="AC243" s="712"/>
      <c r="AD243" s="988"/>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3">
      <c r="B244" s="146" t="s">
        <v>681</v>
      </c>
      <c r="C244" s="708"/>
      <c r="D244" s="708"/>
      <c r="E244" s="948">
        <f>UETable!AV38</f>
        <v>0</v>
      </c>
      <c r="F244" s="948"/>
      <c r="G244" s="708"/>
      <c r="H244" s="708"/>
      <c r="I244" s="929">
        <f>IF(C244="",0,IF(OR(C244&lt;=0,G244&lt;=0),E244,IF(G244&lt;C244,0,UETable!BA38)))</f>
        <v>0</v>
      </c>
      <c r="J244" s="929"/>
      <c r="K244" s="946" t="str">
        <f>IF(OR(C244="NA",G244="NA"),"",IF(AND(C244&lt;&gt;"",G244=""),"Enter contralateral or NA.",IF(AND(C244="",G244&lt;&gt;""),"Need data","")))</f>
        <v/>
      </c>
      <c r="L244" s="946"/>
      <c r="M244" s="946"/>
      <c r="N244" s="946"/>
      <c r="O244" s="1073"/>
      <c r="P244" s="770"/>
      <c r="R244" s="10"/>
      <c r="S244" s="50">
        <v>70</v>
      </c>
      <c r="T244" s="50" t="str">
        <f>IF(OR(C244="",C244="NA"),"",IF(C244&gt;S244,S244,IF(C244&lt;0,0,C244)))</f>
        <v/>
      </c>
      <c r="U244" s="50" t="str">
        <f>IF(OR(G244="",G244="NA"),"",IF(G244&gt;S244,S244,IF(G244&lt;0,0,G244)))</f>
        <v/>
      </c>
      <c r="V244" s="562" t="str">
        <f>IF(Y244="","",ROUND(Y244,0))</f>
        <v/>
      </c>
      <c r="W244" s="806" t="s">
        <v>1202</v>
      </c>
      <c r="X244" s="806"/>
      <c r="Y244" s="563" t="str">
        <f>IF(T244="","",IF(OR(U244="",U244=0,U244&lt;T244),T244,(T244*70)/U244))</f>
        <v/>
      </c>
      <c r="Z244" s="10"/>
      <c r="AA244" s="989"/>
      <c r="AB244" s="990"/>
      <c r="AC244" s="990"/>
      <c r="AD244" s="991"/>
      <c r="AE244" s="18">
        <f>IF(OR(E246&gt;0,E250&gt;0,E254&gt;0),1,0)</f>
        <v>0</v>
      </c>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3">
      <c r="B245" s="146" t="s">
        <v>682</v>
      </c>
      <c r="C245" s="708"/>
      <c r="D245" s="708"/>
      <c r="E245" s="948">
        <f>UETable!AV39</f>
        <v>0</v>
      </c>
      <c r="F245" s="948"/>
      <c r="G245" s="708"/>
      <c r="H245" s="708"/>
      <c r="I245" s="929">
        <f>IF(C245="",0,IF(OR(C245&gt;=70,G245&gt;=70),E245,IF(G245&gt;C245,0,UETable!BA39)))</f>
        <v>0</v>
      </c>
      <c r="J245" s="929"/>
      <c r="K245" s="946" t="str">
        <f>IF(OR(C245="NA",G245="NA"),"",IF(AND(C245&lt;&gt;"",G245=""),"Enter contralateral or NA.",IF(AND(C245="",G245&lt;&gt;""),"Need data","")))</f>
        <v/>
      </c>
      <c r="L245" s="946"/>
      <c r="M245" s="946"/>
      <c r="N245" s="946"/>
      <c r="O245" s="1073"/>
      <c r="P245" s="770"/>
      <c r="S245" s="50">
        <v>70</v>
      </c>
      <c r="T245" s="50"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3">
      <c r="B246" s="146" t="s">
        <v>683</v>
      </c>
      <c r="C246" s="708"/>
      <c r="D246" s="708"/>
      <c r="E246" s="948">
        <f>IF(AND(C246&lt;&gt;"",C246&lt;&gt;"NA",C245&lt;&gt;"NA",C245&lt;&gt;""),"ERROR",IF(AND(C246&lt;&gt;"",C246&lt;&gt;"NA",C244&lt;&gt;"",C244&lt;&gt;"NA"),"ERROR",UETable!AV40))</f>
        <v>0</v>
      </c>
      <c r="F246" s="948"/>
      <c r="G246" s="946" t="str">
        <f>IF(AND(C246&lt;&gt;"",C246&lt;&gt;"NA",C245&lt;&gt;"NA",C245&lt;&gt;""),"ERROR: Cannot rate ROM and ankylosis.",IF(AND(C246&lt;&gt;"",C246&lt;&gt;"NA",C244&lt;&gt;"",C244&lt;&gt;"NA"),"ERROR: Cannot rate ROM and ankylosis.",""))</f>
        <v/>
      </c>
      <c r="H246" s="946"/>
      <c r="I246" s="946"/>
      <c r="J246" s="946"/>
      <c r="K246" s="946"/>
      <c r="L246" s="946"/>
      <c r="M246" s="946"/>
      <c r="N246" s="946"/>
      <c r="O246" s="1073"/>
      <c r="P246" s="770"/>
      <c r="R246" s="10"/>
      <c r="S246" s="50">
        <v>70</v>
      </c>
      <c r="T246" s="50"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3">
      <c r="B247" s="993"/>
      <c r="C247" s="994"/>
      <c r="D247" s="994"/>
      <c r="E247" s="994"/>
      <c r="F247" s="994"/>
      <c r="G247" s="994"/>
      <c r="H247" s="994"/>
      <c r="I247" s="994"/>
      <c r="J247" s="995"/>
      <c r="K247" s="958" t="s">
        <v>1841</v>
      </c>
      <c r="L247" s="958"/>
      <c r="M247" s="958"/>
      <c r="N247" s="958"/>
      <c r="O247" s="65">
        <f>IF(E246="ERROR","ERROR",IF(R247&gt;1,1,R247))</f>
        <v>0</v>
      </c>
      <c r="P247" s="770"/>
      <c r="R247" s="194">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3">
      <c r="B248" s="233" t="s">
        <v>684</v>
      </c>
      <c r="C248" s="708"/>
      <c r="D248" s="708"/>
      <c r="E248" s="1096">
        <f>UETable!AV42</f>
        <v>0</v>
      </c>
      <c r="F248" s="1096"/>
      <c r="G248" s="708"/>
      <c r="H248" s="708"/>
      <c r="I248" s="1097">
        <f>IF(C248="",0,IF(OR(C248&lt;=0,G248&lt;=0),E248,IF(G248&lt;C248,0,UETable!BA42)))</f>
        <v>0</v>
      </c>
      <c r="J248" s="1097"/>
      <c r="K248" s="1093" t="str">
        <f>IF(OR(C248="NA",G248="NA"),"",IF(AND(C248&lt;&gt;"",G248=""),"Enter contralateral or NA.",IF(AND(C248="",G248&lt;&gt;""),"Need data","")))</f>
        <v/>
      </c>
      <c r="L248" s="1093"/>
      <c r="M248" s="1093"/>
      <c r="N248" s="1093"/>
      <c r="O248" s="1094"/>
      <c r="P248" s="770"/>
      <c r="R248" s="10"/>
      <c r="S248" s="50">
        <v>100</v>
      </c>
      <c r="T248" s="50" t="str">
        <f>IF(OR(C248="",C248="NA"),"",IF(C248&gt;S248,S248,IF(C248&lt;0,0,C248)))</f>
        <v/>
      </c>
      <c r="U248" s="50" t="str">
        <f>IF(OR(G248="",G248="NA"),"",IF(G248&gt;S248,S248,IF(G248&lt;0,0,G248)))</f>
        <v/>
      </c>
      <c r="V248" s="562" t="str">
        <f>IF(Y248="","",ROUND(Y248,0))</f>
        <v/>
      </c>
      <c r="W248" s="806" t="s">
        <v>1202</v>
      </c>
      <c r="X248" s="806"/>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3">
      <c r="B249" s="146" t="s">
        <v>685</v>
      </c>
      <c r="C249" s="708"/>
      <c r="D249" s="708"/>
      <c r="E249" s="948">
        <f>UETable!AV43</f>
        <v>0</v>
      </c>
      <c r="F249" s="948"/>
      <c r="G249" s="708"/>
      <c r="H249" s="708"/>
      <c r="I249" s="929">
        <f>IF(C249="",0,IF(OR(C249&gt;=100,G249&gt;=100),E249,IF(G249&gt;C249,0,UETable!BA43)))</f>
        <v>0</v>
      </c>
      <c r="J249" s="929"/>
      <c r="K249" s="946" t="str">
        <f>IF(OR(C249="NA",G249="NA"),"",IF(AND(C249&lt;&gt;"",G249=""),"Enter contralateral or NA.",IF(AND(C249="",G249&lt;&gt;""),"Need data","")))</f>
        <v/>
      </c>
      <c r="L249" s="946"/>
      <c r="M249" s="946"/>
      <c r="N249" s="946"/>
      <c r="O249" s="1073"/>
      <c r="P249" s="770"/>
      <c r="S249" s="50">
        <v>100</v>
      </c>
      <c r="T249" s="50"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3">
      <c r="B250" s="146" t="s">
        <v>686</v>
      </c>
      <c r="C250" s="708"/>
      <c r="D250" s="708"/>
      <c r="E250" s="948">
        <f>IF(AND(C250&lt;&gt;"",C250&lt;&gt;"NA",C249&lt;&gt;"NA",C249&lt;&gt;""),"ERROR",IF(AND(C250&lt;&gt;"",C250&lt;&gt;"NA",C248&lt;&gt;"",C248&lt;&gt;"NA"),"ERROR",UETable!AV44))</f>
        <v>0</v>
      </c>
      <c r="F250" s="948"/>
      <c r="G250" s="946" t="str">
        <f>IF(AND(C250&lt;&gt;"",C250&lt;&gt;"NA",C249&lt;&gt;"NA",C249&lt;&gt;""),"ERROR: Cannot rate ROM and ankylosis.",IF(AND(C250&lt;&gt;"",C250&lt;&gt;"NA",C248&lt;&gt;"",C248&lt;&gt;"NA"),"ERROR: Cannot rate ROM and ankylosis.",""))</f>
        <v/>
      </c>
      <c r="H250" s="946"/>
      <c r="I250" s="946"/>
      <c r="J250" s="946"/>
      <c r="K250" s="946"/>
      <c r="L250" s="946"/>
      <c r="M250" s="946"/>
      <c r="N250" s="946"/>
      <c r="O250" s="1073"/>
      <c r="P250" s="770"/>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3">
      <c r="B251" s="993"/>
      <c r="C251" s="994"/>
      <c r="D251" s="994"/>
      <c r="E251" s="994"/>
      <c r="F251" s="994"/>
      <c r="G251" s="994"/>
      <c r="H251" s="994"/>
      <c r="I251" s="994"/>
      <c r="J251" s="995"/>
      <c r="K251" s="958" t="s">
        <v>1841</v>
      </c>
      <c r="L251" s="958"/>
      <c r="M251" s="958"/>
      <c r="N251" s="958"/>
      <c r="O251" s="65">
        <f>IF(E250="ERROR","ERROR",IF(R251&gt;1,1,R251))</f>
        <v>0</v>
      </c>
      <c r="P251" s="770"/>
      <c r="R251" s="194">
        <f>SUM(I248,I249,E250)</f>
        <v>0</v>
      </c>
      <c r="S251" s="1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3">
      <c r="B252" s="233" t="s">
        <v>1577</v>
      </c>
      <c r="C252" s="708"/>
      <c r="D252" s="708"/>
      <c r="E252" s="1096">
        <f>UETable!AV46</f>
        <v>0</v>
      </c>
      <c r="F252" s="1096"/>
      <c r="G252" s="708"/>
      <c r="H252" s="708"/>
      <c r="I252" s="1097">
        <f>IF(C252="",0,IF(OR(C252&lt;=0,G252&lt;=0),E252,IF(G252&lt;C252,0,UETable!BA46)))</f>
        <v>0</v>
      </c>
      <c r="J252" s="1097"/>
      <c r="K252" s="1093" t="str">
        <f>IF(OR(C252="NA",G252="NA"),"",IF(AND(C252&lt;&gt;"",G252=""),"Enter contralateral or NA.",IF(AND(C252="",G252&lt;&gt;""),"Need data","")))</f>
        <v/>
      </c>
      <c r="L252" s="1093"/>
      <c r="M252" s="1093"/>
      <c r="N252" s="1093"/>
      <c r="O252" s="1094"/>
      <c r="P252" s="770"/>
      <c r="R252" s="10"/>
      <c r="S252" s="50">
        <v>90</v>
      </c>
      <c r="T252" s="50" t="str">
        <f>IF(OR(C252="",C252="NA"),"",IF(C252&gt;S252,S252,IF(C252&lt;0,0,C252)))</f>
        <v/>
      </c>
      <c r="U252" s="50" t="str">
        <f>IF(OR(G252="",G252="NA"),"",IF(G252&gt;S252,S252,IF(G252&lt;0,0,G252)))</f>
        <v/>
      </c>
      <c r="V252" s="562" t="str">
        <f>IF(Y252="","",ROUND(Y252,0))</f>
        <v/>
      </c>
      <c r="W252" s="806" t="s">
        <v>1202</v>
      </c>
      <c r="X252" s="806"/>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3">
      <c r="B253" s="146" t="s">
        <v>1578</v>
      </c>
      <c r="C253" s="708"/>
      <c r="D253" s="708"/>
      <c r="E253" s="948">
        <f>UETable!AV47</f>
        <v>0</v>
      </c>
      <c r="F253" s="948"/>
      <c r="G253" s="708"/>
      <c r="H253" s="708"/>
      <c r="I253" s="929">
        <f>IF(C253="",0,IF(OR(C253&gt;=90,G253&gt;=90),E253,IF(G253&gt;C253,0,UETable!BA47)))</f>
        <v>0</v>
      </c>
      <c r="J253" s="929"/>
      <c r="K253" s="946" t="str">
        <f>IF(OR(C253="NA",G253="NA"),"",IF(AND(C253&lt;&gt;"",G253=""),"Enter contralateral or NA.",IF(AND(C253="",G253&lt;&gt;""),"Need data","")))</f>
        <v/>
      </c>
      <c r="L253" s="946"/>
      <c r="M253" s="946"/>
      <c r="N253" s="946"/>
      <c r="O253" s="1073"/>
      <c r="P253" s="770"/>
      <c r="R253" s="10"/>
      <c r="S253" s="50">
        <v>90</v>
      </c>
      <c r="T253" s="50"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3">
      <c r="B254" s="146" t="s">
        <v>643</v>
      </c>
      <c r="C254" s="708"/>
      <c r="D254" s="708"/>
      <c r="E254" s="948">
        <f>IF(AND(C254&lt;&gt;"",C254&lt;&gt;"NA",C253&lt;&gt;"NA",C253&lt;&gt;""),"ERROR",IF(AND(C254&lt;&gt;"",C254&lt;&gt;"NA",C252&lt;&gt;"",C252&lt;&gt;"NA"),"ERROR",UETable!AV48))</f>
        <v>0</v>
      </c>
      <c r="F254" s="948"/>
      <c r="G254" s="946" t="str">
        <f>IF(AND(C254&lt;&gt;"",C254&lt;&gt;"NA",C253&lt;&gt;"NA",C253&lt;&gt;""),"ERROR: Cannot rate ROM and ankylosis.",IF(AND(C254&lt;&gt;"",C254&lt;&gt;"NA",C252&lt;&gt;"",C252&lt;&gt;"NA"),"ERROR: Cannot rate ROM and ankylosis.",""))</f>
        <v/>
      </c>
      <c r="H254" s="946"/>
      <c r="I254" s="946"/>
      <c r="J254" s="946"/>
      <c r="K254" s="946"/>
      <c r="L254" s="946"/>
      <c r="M254" s="946"/>
      <c r="N254" s="946"/>
      <c r="O254" s="1073"/>
      <c r="P254" s="770"/>
      <c r="R254" s="50">
        <f>IF(OR(O247="ERROR",O251="ERROR",O255="ERROR"),1,0)</f>
        <v>0</v>
      </c>
      <c r="S254" s="50">
        <v>90</v>
      </c>
      <c r="T254" s="50"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3">
      <c r="B255" s="636"/>
      <c r="C255" s="637"/>
      <c r="D255" s="637"/>
      <c r="E255" s="1138" t="str">
        <f>IF(AND(OR(E246&gt;0,E250&gt;0,E254&gt;0),C256&gt;0),"Note: Ankylosis is not apportioned.","")</f>
        <v/>
      </c>
      <c r="F255" s="1138"/>
      <c r="G255" s="1138"/>
      <c r="H255" s="1138"/>
      <c r="I255" s="1138"/>
      <c r="J255" s="958" t="s">
        <v>1841</v>
      </c>
      <c r="K255" s="958"/>
      <c r="L255" s="958"/>
      <c r="M255" s="958"/>
      <c r="N255" s="958"/>
      <c r="O255" s="65">
        <f>IF(E254="ERROR","ERROR",IF(R255&gt;1,1,R255))</f>
        <v>0</v>
      </c>
      <c r="P255" s="77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3">
      <c r="B256" s="13" t="s">
        <v>2255</v>
      </c>
      <c r="C256" s="935"/>
      <c r="D256" s="960"/>
      <c r="E256" s="1138"/>
      <c r="F256" s="1138"/>
      <c r="G256" s="1138"/>
      <c r="H256" s="1138"/>
      <c r="I256" s="1138"/>
      <c r="J256" s="958" t="s">
        <v>928</v>
      </c>
      <c r="K256" s="958"/>
      <c r="L256" s="958"/>
      <c r="M256" s="958"/>
      <c r="N256" s="958"/>
      <c r="O256" s="1099"/>
      <c r="P256" s="77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3">
      <c r="B257" s="792"/>
      <c r="C257" s="792"/>
      <c r="D257" s="792"/>
      <c r="E257" s="792"/>
      <c r="F257" s="792"/>
      <c r="G257" s="792"/>
      <c r="H257" s="792"/>
      <c r="I257" s="792"/>
      <c r="J257" s="792"/>
      <c r="K257" s="792"/>
      <c r="L257" s="792"/>
      <c r="M257" s="792"/>
      <c r="N257" s="792"/>
      <c r="O257" s="792"/>
      <c r="R257" s="10"/>
      <c r="S257" s="878" t="s">
        <v>2196</v>
      </c>
      <c r="T257" s="878"/>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3">
      <c r="A258" s="15"/>
      <c r="B258" s="964" t="s">
        <v>970</v>
      </c>
      <c r="C258" s="965"/>
      <c r="D258" s="934"/>
      <c r="E258" s="934"/>
      <c r="F258" s="971" t="s">
        <v>1228</v>
      </c>
      <c r="G258" s="971"/>
      <c r="H258" s="971"/>
      <c r="I258" s="971"/>
      <c r="J258" s="971"/>
      <c r="K258" s="971"/>
      <c r="L258" s="971"/>
      <c r="M258" s="971"/>
      <c r="N258" s="971"/>
      <c r="O258" s="971"/>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3">
      <c r="B259" s="966"/>
      <c r="C259" s="967"/>
      <c r="D259" s="934"/>
      <c r="E259" s="934"/>
      <c r="F259" s="971" t="s">
        <v>1230</v>
      </c>
      <c r="G259" s="971"/>
      <c r="H259" s="971"/>
      <c r="I259" s="971"/>
      <c r="J259" s="971"/>
      <c r="K259" s="971"/>
      <c r="L259" s="971"/>
      <c r="M259" s="971"/>
      <c r="N259" s="971"/>
      <c r="O259" s="971"/>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3">
      <c r="B260" s="966"/>
      <c r="C260" s="967"/>
      <c r="D260" s="934"/>
      <c r="E260" s="934"/>
      <c r="F260" s="971" t="s">
        <v>1229</v>
      </c>
      <c r="G260" s="971"/>
      <c r="H260" s="971"/>
      <c r="I260" s="971"/>
      <c r="J260" s="971"/>
      <c r="K260" s="971"/>
      <c r="L260" s="971"/>
      <c r="M260" s="971"/>
      <c r="N260" s="971"/>
      <c r="O260" s="971"/>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3">
      <c r="B261" s="968"/>
      <c r="C261" s="969"/>
      <c r="D261" s="934"/>
      <c r="E261" s="934"/>
      <c r="F261" s="971" t="s">
        <v>1231</v>
      </c>
      <c r="G261" s="971"/>
      <c r="H261" s="971"/>
      <c r="I261" s="971"/>
      <c r="J261" s="971"/>
      <c r="K261" s="971"/>
      <c r="L261" s="971"/>
      <c r="M261" s="971"/>
      <c r="N261" s="971"/>
      <c r="O261" s="971"/>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3">
      <c r="B262" s="792"/>
      <c r="C262" s="792"/>
      <c r="D262" s="792"/>
      <c r="E262" s="792"/>
      <c r="F262" s="792"/>
      <c r="G262" s="792"/>
      <c r="H262" s="792"/>
      <c r="I262" s="792"/>
      <c r="J262" s="792"/>
      <c r="K262" s="792"/>
      <c r="L262" s="792"/>
      <c r="M262" s="792"/>
      <c r="N262" s="792"/>
      <c r="O262" s="792"/>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3">
      <c r="B263" s="485"/>
      <c r="C263" s="1012" t="s">
        <v>248</v>
      </c>
      <c r="D263" s="983"/>
      <c r="E263" s="982" t="s">
        <v>249</v>
      </c>
      <c r="F263" s="983"/>
      <c r="G263" s="355"/>
      <c r="H263" s="357"/>
      <c r="I263" s="1011" t="s">
        <v>250</v>
      </c>
      <c r="J263" s="983"/>
      <c r="K263" s="477"/>
      <c r="L263" s="357"/>
      <c r="M263" s="982" t="s">
        <v>249</v>
      </c>
      <c r="N263" s="983"/>
      <c r="O263" s="356"/>
      <c r="P263" s="492"/>
      <c r="Z263" s="482"/>
      <c r="AE263" s="481"/>
      <c r="AF263" s="481"/>
      <c r="AG263" s="481"/>
      <c r="AH263" s="481"/>
      <c r="AI263" s="481"/>
      <c r="AJ263" s="481"/>
      <c r="AK263" s="481"/>
      <c r="AL263" s="481"/>
      <c r="AM263" s="481"/>
      <c r="AN263" s="481"/>
    </row>
    <row r="264" spans="1:109" ht="12" customHeight="1" x14ac:dyDescent="0.3">
      <c r="B264" s="486"/>
      <c r="C264" s="970" t="s">
        <v>251</v>
      </c>
      <c r="D264" s="963"/>
      <c r="E264" s="970" t="s">
        <v>252</v>
      </c>
      <c r="F264" s="963"/>
      <c r="G264" s="970" t="s">
        <v>253</v>
      </c>
      <c r="H264" s="963"/>
      <c r="I264" s="962" t="s">
        <v>254</v>
      </c>
      <c r="J264" s="963"/>
      <c r="K264" s="970" t="s">
        <v>255</v>
      </c>
      <c r="L264" s="963"/>
      <c r="M264" s="970" t="s">
        <v>256</v>
      </c>
      <c r="N264" s="963"/>
      <c r="P264" s="493"/>
      <c r="Z264" s="332"/>
      <c r="AE264" s="481"/>
      <c r="AF264" s="481"/>
      <c r="AG264" s="481"/>
      <c r="AH264" s="481"/>
      <c r="AI264" s="481"/>
      <c r="AJ264" s="481"/>
      <c r="AK264" s="481"/>
      <c r="AL264" s="481"/>
      <c r="AM264" s="481"/>
      <c r="AN264" s="481"/>
    </row>
    <row r="265" spans="1:109" ht="12" customHeight="1" x14ac:dyDescent="0.3">
      <c r="B265" s="486"/>
      <c r="C265" s="943" t="s">
        <v>257</v>
      </c>
      <c r="D265" s="944"/>
      <c r="E265" s="943" t="s">
        <v>258</v>
      </c>
      <c r="F265" s="944"/>
      <c r="G265" s="943" t="s">
        <v>259</v>
      </c>
      <c r="H265" s="944"/>
      <c r="I265" s="1013" t="s">
        <v>260</v>
      </c>
      <c r="J265" s="944"/>
      <c r="K265" s="943" t="s">
        <v>259</v>
      </c>
      <c r="L265" s="944"/>
      <c r="M265" s="943" t="s">
        <v>258</v>
      </c>
      <c r="N265" s="944"/>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3">
      <c r="B266" s="548" t="s">
        <v>1985</v>
      </c>
      <c r="C266" s="1001" t="s">
        <v>261</v>
      </c>
      <c r="D266" s="1002"/>
      <c r="E266" s="1001" t="s">
        <v>261</v>
      </c>
      <c r="F266" s="1002"/>
      <c r="G266" s="1001" t="s">
        <v>261</v>
      </c>
      <c r="H266" s="1002"/>
      <c r="I266" s="1001" t="s">
        <v>261</v>
      </c>
      <c r="J266" s="1002"/>
      <c r="K266" s="1001" t="s">
        <v>261</v>
      </c>
      <c r="L266" s="1002"/>
      <c r="M266" s="1001" t="s">
        <v>261</v>
      </c>
      <c r="N266" s="1002"/>
      <c r="P266" s="493"/>
      <c r="S266" s="907" t="s">
        <v>2196</v>
      </c>
      <c r="T266" s="908"/>
      <c r="U266" s="908"/>
      <c r="V266" s="908"/>
      <c r="W266" s="908"/>
      <c r="X266" s="909"/>
      <c r="Y266" s="480"/>
      <c r="Z266" s="480"/>
      <c r="AA266" s="952" t="s">
        <v>2196</v>
      </c>
      <c r="AB266" s="953"/>
      <c r="AC266" s="953"/>
      <c r="AD266" s="953"/>
      <c r="AE266" s="953"/>
      <c r="AF266" s="954"/>
      <c r="AG266" s="480"/>
      <c r="AH266" s="910" t="s">
        <v>2196</v>
      </c>
      <c r="AI266" s="911"/>
      <c r="AJ266" s="911"/>
      <c r="AK266" s="911"/>
      <c r="AL266" s="911"/>
      <c r="AM266" s="912"/>
      <c r="AO266" s="907" t="s">
        <v>2196</v>
      </c>
      <c r="AP266" s="908"/>
      <c r="AQ266" s="908"/>
      <c r="AR266" s="908"/>
      <c r="AS266" s="909"/>
      <c r="AU266" s="907" t="s">
        <v>2196</v>
      </c>
      <c r="AV266" s="908"/>
      <c r="AW266" s="908"/>
      <c r="AX266" s="909"/>
      <c r="AZ266" s="907" t="s">
        <v>2196</v>
      </c>
      <c r="BA266" s="908"/>
      <c r="BB266" s="908"/>
      <c r="BC266" s="908"/>
      <c r="BD266" s="908"/>
      <c r="BE266" s="908"/>
      <c r="BF266" s="908"/>
      <c r="BG266" s="909"/>
      <c r="BI266" s="907" t="s">
        <v>2196</v>
      </c>
      <c r="BJ266" s="908"/>
      <c r="BK266" s="908"/>
      <c r="BL266" s="908"/>
      <c r="BM266" s="908"/>
      <c r="BN266" s="909"/>
    </row>
    <row r="267" spans="1:109" customFormat="1" ht="15" customHeight="1" x14ac:dyDescent="0.3">
      <c r="B267" s="146" t="s">
        <v>1607</v>
      </c>
      <c r="C267" s="945"/>
      <c r="D267" s="945"/>
      <c r="E267" s="945"/>
      <c r="F267" s="945"/>
      <c r="G267" s="945"/>
      <c r="H267" s="945"/>
      <c r="I267" s="945"/>
      <c r="J267" s="945"/>
      <c r="K267" s="945"/>
      <c r="L267" s="945"/>
      <c r="M267" s="945"/>
      <c r="N267" s="945"/>
      <c r="P267" s="494"/>
      <c r="S267" s="304">
        <f>IF(C267="",0,C267)</f>
        <v>0</v>
      </c>
      <c r="T267" s="304">
        <f>IF(E267&lt;&gt;"",E267,IF(S267&gt;0,S267,0))</f>
        <v>0</v>
      </c>
      <c r="U267" s="304">
        <f>IF(G267&lt;&gt;"",G267,IF(T267&gt;0,T267,0))</f>
        <v>0</v>
      </c>
      <c r="V267" s="304">
        <f>IF(I267&lt;&gt;"",I267,IF(U267&gt;0,U267,0))</f>
        <v>0</v>
      </c>
      <c r="W267" s="304">
        <f>IF(K267&lt;&gt;"",K267,IF(V267&gt;0,V267,0))</f>
        <v>0</v>
      </c>
      <c r="X267" s="304">
        <f>IF(M267&lt;&gt;"",M267,IF(W267&gt;0,W267,0))</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907" t="s">
        <v>2196</v>
      </c>
      <c r="BS267" s="908"/>
      <c r="BT267" s="908"/>
      <c r="BU267" s="908"/>
      <c r="BV267" s="908"/>
      <c r="BW267" s="908"/>
      <c r="BX267" s="908"/>
      <c r="BY267" s="908"/>
      <c r="BZ267" s="908"/>
      <c r="CA267" s="909"/>
    </row>
    <row r="268" spans="1:109" customFormat="1" ht="15" customHeight="1" x14ac:dyDescent="0.3">
      <c r="B268" s="304" t="s">
        <v>1610</v>
      </c>
      <c r="C268" s="945"/>
      <c r="D268" s="945"/>
      <c r="E268" s="945"/>
      <c r="F268" s="945"/>
      <c r="G268" s="945"/>
      <c r="H268" s="945"/>
      <c r="I268" s="945"/>
      <c r="J268" s="945"/>
      <c r="K268" s="945"/>
      <c r="L268" s="945"/>
      <c r="M268" s="945"/>
      <c r="N268" s="945"/>
      <c r="P268" s="500"/>
      <c r="S268" s="304">
        <f>IF(C268="",0,C268)</f>
        <v>0</v>
      </c>
      <c r="T268" s="304">
        <f>IF(E268&lt;&gt;"",E268,IF(S268&gt;0,S268,0))</f>
        <v>0</v>
      </c>
      <c r="U268" s="304">
        <f>IF(G268&lt;&gt;"",G268,IF(T268&gt;0,T268,0))</f>
        <v>0</v>
      </c>
      <c r="V268" s="304">
        <f>IF(I268&lt;&gt;"",I268,IF(U268&gt;0,U268,0))</f>
        <v>0</v>
      </c>
      <c r="W268" s="304">
        <f>IF(K268&lt;&gt;"",K268,IF(V268&gt;0,V268,0))</f>
        <v>0</v>
      </c>
      <c r="X268" s="304">
        <f>IF(M268&lt;&gt;"",M268,IF(W268&gt;0,W268,0))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3">
      <c r="B269" s="487" t="s">
        <v>1613</v>
      </c>
      <c r="C269" s="1016"/>
      <c r="D269" s="1016"/>
      <c r="E269" s="1016"/>
      <c r="F269" s="1016"/>
      <c r="G269" s="1016"/>
      <c r="H269" s="1016"/>
      <c r="I269" s="1016"/>
      <c r="J269" s="1016"/>
      <c r="K269" s="1016"/>
      <c r="L269" s="1016"/>
      <c r="M269" s="1016"/>
      <c r="N269" s="1016"/>
      <c r="P269" s="500"/>
      <c r="S269" s="304">
        <f>IF(C269="",0,C269)</f>
        <v>0</v>
      </c>
      <c r="T269" s="304">
        <f>IF(E269&lt;&gt;"",E269,IF(S269&gt;0,S269,0))</f>
        <v>0</v>
      </c>
      <c r="U269" s="304">
        <f>IF(G269&lt;&gt;"",G269,IF(T269&gt;0,T269,0))</f>
        <v>0</v>
      </c>
      <c r="V269" s="304">
        <f>IF(I269&lt;&gt;"",I269,IF(U269&gt;0,U269,0))</f>
        <v>0</v>
      </c>
      <c r="W269" s="304">
        <f>IF(K269&lt;&gt;"",K269,IF(V269&gt;0,V269,0))</f>
        <v>0</v>
      </c>
      <c r="X269" s="304">
        <f>IF(M269&lt;&gt;"",M269,IF(W269&gt;0,W269,0))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3">
      <c r="B270" s="978" t="str">
        <f>IF(AD270=1,"ERROR: If radial or ulnar impairment is recorded, do not enter losses for 'both sides.'","")</f>
        <v/>
      </c>
      <c r="C270" s="979"/>
      <c r="D270" s="979"/>
      <c r="E270" s="979"/>
      <c r="F270" s="979"/>
      <c r="G270" s="979"/>
      <c r="H270" s="979"/>
      <c r="I270" s="979"/>
      <c r="J270" s="979"/>
      <c r="K270" s="979"/>
      <c r="L270" s="979"/>
      <c r="M270" s="979"/>
      <c r="N270" s="979"/>
      <c r="O270" s="980"/>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304"/>
      <c r="AF270" s="304"/>
    </row>
    <row r="271" spans="1:109" customFormat="1" ht="15" customHeight="1" x14ac:dyDescent="0.3">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3">
      <c r="B272" s="146" t="s">
        <v>1607</v>
      </c>
      <c r="C272" s="945"/>
      <c r="D272" s="945"/>
      <c r="E272" s="945"/>
      <c r="F272" s="945"/>
      <c r="G272" s="945"/>
      <c r="H272" s="945"/>
      <c r="I272" s="945"/>
      <c r="J272" s="945"/>
      <c r="K272" s="945"/>
      <c r="L272" s="945"/>
      <c r="M272" s="945"/>
      <c r="N272" s="945"/>
      <c r="P272" s="494"/>
      <c r="S272" s="304">
        <f>IF(C272="",0,C272)</f>
        <v>0</v>
      </c>
      <c r="T272" s="304">
        <f>IF(E272&lt;&gt;"",E272,IF(S272&gt;0,S272,0))</f>
        <v>0</v>
      </c>
      <c r="U272" s="304">
        <f>IF(G272&lt;&gt;"",G272,IF(T272&gt;0,T272,0))</f>
        <v>0</v>
      </c>
      <c r="V272" s="304">
        <f>IF(I272&lt;&gt;"",I272,IF(U272&gt;0,U272,0))</f>
        <v>0</v>
      </c>
      <c r="W272" s="304">
        <f>IF(K272&lt;&gt;"",K272,IF(V272&gt;0,V272,0))</f>
        <v>0</v>
      </c>
      <c r="X272" s="304">
        <f>IF(M272&lt;&gt;"",M272,IF(W272&gt;0,W272,0))</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3">
      <c r="B273" s="304" t="s">
        <v>1610</v>
      </c>
      <c r="C273" s="945"/>
      <c r="D273" s="945"/>
      <c r="E273" s="945"/>
      <c r="F273" s="945"/>
      <c r="G273" s="945"/>
      <c r="H273" s="945"/>
      <c r="I273" s="945"/>
      <c r="J273" s="945"/>
      <c r="K273" s="945"/>
      <c r="L273" s="945"/>
      <c r="M273" s="945"/>
      <c r="N273" s="945"/>
      <c r="P273" s="500"/>
      <c r="S273" s="304">
        <f>IF(C273="",0,C273)</f>
        <v>0</v>
      </c>
      <c r="T273" s="304">
        <f>IF(E273&lt;&gt;"",E273,IF(S273&gt;0,S273,0))</f>
        <v>0</v>
      </c>
      <c r="U273" s="304">
        <f>IF(G273&lt;&gt;"",G273,IF(T273&gt;0,T273,0))</f>
        <v>0</v>
      </c>
      <c r="V273" s="304">
        <f>IF(I273&lt;&gt;"",I273,IF(U273&gt;0,U273,0))</f>
        <v>0</v>
      </c>
      <c r="W273" s="304">
        <f>IF(K273&lt;&gt;"",K273,IF(V273&gt;0,V273,0))</f>
        <v>0</v>
      </c>
      <c r="X273" s="304">
        <f>IF(M273&lt;&gt;"",M273,IF(W273&gt;0,W273,0))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3">
      <c r="B274" s="487" t="s">
        <v>1613</v>
      </c>
      <c r="C274" s="1016"/>
      <c r="D274" s="1016"/>
      <c r="E274" s="1016"/>
      <c r="F274" s="1016"/>
      <c r="G274" s="1016"/>
      <c r="H274" s="1016"/>
      <c r="I274" s="1016"/>
      <c r="J274" s="1016"/>
      <c r="K274" s="1016"/>
      <c r="L274" s="1016"/>
      <c r="M274" s="1016"/>
      <c r="N274" s="1016"/>
      <c r="P274" s="500"/>
      <c r="S274" s="304">
        <f>IF(C274="",0,C274)</f>
        <v>0</v>
      </c>
      <c r="T274" s="304">
        <f>IF(E274&lt;&gt;"",E274,IF(S274&gt;0,S274,0))</f>
        <v>0</v>
      </c>
      <c r="U274" s="304">
        <f>IF(G274&lt;&gt;"",G274,IF(T274&gt;0,T274,0))</f>
        <v>0</v>
      </c>
      <c r="V274" s="304">
        <f>IF(I274&lt;&gt;"",I274,IF(U274&gt;0,U274,0))</f>
        <v>0</v>
      </c>
      <c r="W274" s="304">
        <f>IF(K274&lt;&gt;"",K274,IF(V274&gt;0,V274,0))</f>
        <v>0</v>
      </c>
      <c r="X274" s="304">
        <f>IF(M274&lt;&gt;"",M274,IF(W274&gt;0,W274,0))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3">
      <c r="B275" s="978" t="str">
        <f>IF(AD275=1,"ERROR: If radial or ulnar impairment is recorded, do not enter losses for 'both sides.'","")</f>
        <v/>
      </c>
      <c r="C275" s="979"/>
      <c r="D275" s="979"/>
      <c r="E275" s="979"/>
      <c r="F275" s="979"/>
      <c r="G275" s="979"/>
      <c r="H275" s="979"/>
      <c r="I275" s="979"/>
      <c r="J275" s="979"/>
      <c r="K275" s="979"/>
      <c r="L275" s="979"/>
      <c r="M275" s="979"/>
      <c r="N275" s="979"/>
      <c r="O275" s="980"/>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9.75" customHeight="1" x14ac:dyDescent="0.3">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3">
      <c r="B277" s="50" t="s">
        <v>1232</v>
      </c>
      <c r="C277" s="925" t="s">
        <v>1370</v>
      </c>
      <c r="D277" s="925"/>
      <c r="E277" s="925"/>
      <c r="F277" s="925"/>
      <c r="G277" s="925"/>
      <c r="H277" s="925" t="s">
        <v>1795</v>
      </c>
      <c r="I277" s="925"/>
      <c r="J277" s="925"/>
      <c r="K277" s="18"/>
      <c r="L277" s="925" t="s">
        <v>1233</v>
      </c>
      <c r="M277" s="925"/>
      <c r="N277" s="925"/>
      <c r="O277" s="925"/>
      <c r="P277" s="770">
        <f>V279</f>
        <v>0</v>
      </c>
      <c r="R277" s="10"/>
      <c r="S277" s="569" t="s">
        <v>1596</v>
      </c>
      <c r="T277" s="569" t="s">
        <v>1304</v>
      </c>
      <c r="U277" s="569"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3">
      <c r="B278" s="146" t="s">
        <v>1661</v>
      </c>
      <c r="C278" s="933"/>
      <c r="D278" s="933"/>
      <c r="E278" s="933"/>
      <c r="F278" s="933"/>
      <c r="G278" s="933"/>
      <c r="H278" s="936">
        <f>IF(C278=$X$127,0.09,IF(C278=$Y$127,0.18,IF(C278=$Z$127,0.27,0)))</f>
        <v>0</v>
      </c>
      <c r="I278" s="936"/>
      <c r="J278" s="936"/>
      <c r="K278" s="146"/>
      <c r="L278" s="933"/>
      <c r="M278" s="933"/>
      <c r="N278" s="933"/>
      <c r="O278" s="21">
        <f>IF(H278&gt;=S278,H278-S278,0)</f>
        <v>0</v>
      </c>
      <c r="P278" s="770"/>
      <c r="R278" s="10"/>
      <c r="S278" s="147">
        <f>IF(L278=$Y$128,0.09,IF(L278=$Z$128,0.18,IF(L278=$AA$128,0.27,0)))</f>
        <v>0</v>
      </c>
      <c r="T278" s="147">
        <f>LARGE(O278:O280,1)</f>
        <v>0</v>
      </c>
      <c r="U278" s="553">
        <f>T278+T279*(1-T278)</f>
        <v>0</v>
      </c>
      <c r="V278" s="553">
        <f>ROUND(U278,2)</f>
        <v>0</v>
      </c>
      <c r="W278" s="957" t="s">
        <v>2196</v>
      </c>
      <c r="X278" s="957"/>
      <c r="Y278" s="957"/>
      <c r="Z278" s="957"/>
      <c r="AA278" s="596"/>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3">
      <c r="B279" s="50" t="s">
        <v>1662</v>
      </c>
      <c r="C279" s="933"/>
      <c r="D279" s="933"/>
      <c r="E279" s="933"/>
      <c r="F279" s="933"/>
      <c r="G279" s="933"/>
      <c r="H279" s="936">
        <f>IF(C279=$X$127,0.16,IF(C279=$Y$127,0.32,IF(C279=$Z$127,0.48,0)))</f>
        <v>0</v>
      </c>
      <c r="I279" s="936"/>
      <c r="J279" s="936"/>
      <c r="K279" s="146"/>
      <c r="L279" s="933"/>
      <c r="M279" s="933"/>
      <c r="N279" s="933"/>
      <c r="O279" s="21">
        <f>IF(H279&gt;=S279,H279-S279,0)</f>
        <v>0</v>
      </c>
      <c r="P279" s="770"/>
      <c r="R279" s="10"/>
      <c r="S279" s="147">
        <f>IF(L279=$Y$128,0.16,IF(L279=$Z$128,0.32,IF(L279=$AA$128,0.48,0)))</f>
        <v>0</v>
      </c>
      <c r="T279" s="147">
        <f>LARGE(O278:O280,2)</f>
        <v>0</v>
      </c>
      <c r="U279" s="553">
        <f>V278+T280*(1-V278)</f>
        <v>0</v>
      </c>
      <c r="V279" s="553">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3">
      <c r="B280" s="50" t="s">
        <v>1663</v>
      </c>
      <c r="C280" s="933"/>
      <c r="D280" s="933"/>
      <c r="E280" s="933"/>
      <c r="F280" s="933"/>
      <c r="G280" s="933"/>
      <c r="H280" s="936">
        <f>IF(C280=$X$127,0.2,IF(C280=$Y$127,0.4,IF(C280=$Z$127,0.6,0)))</f>
        <v>0</v>
      </c>
      <c r="I280" s="936"/>
      <c r="J280" s="936"/>
      <c r="K280" s="146"/>
      <c r="L280" s="933"/>
      <c r="M280" s="933"/>
      <c r="N280" s="933"/>
      <c r="O280" s="21">
        <f>IF(H280&gt;=S280,H280-S280,0)</f>
        <v>0</v>
      </c>
      <c r="P280" s="770"/>
      <c r="R280" s="10"/>
      <c r="S280" s="147">
        <f>IF(L280=$Y$128,0.2,IF(L280=$Z$128,0.4,IF(L280=$AA$128,0.6,0)))</f>
        <v>0</v>
      </c>
      <c r="T280" s="147">
        <f>LARGE(O278:O280,3)</f>
        <v>0</v>
      </c>
      <c r="U280" s="50"/>
      <c r="V280" s="5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3">
      <c r="B281" s="961"/>
      <c r="C281" s="961"/>
      <c r="D281" s="961"/>
      <c r="E281" s="961"/>
      <c r="F281" s="961"/>
      <c r="G281" s="961"/>
      <c r="H281" s="961"/>
      <c r="I281" s="961"/>
      <c r="J281" s="961"/>
      <c r="K281" s="961"/>
      <c r="L281" s="961"/>
      <c r="M281" s="961"/>
      <c r="N281" s="961"/>
      <c r="O281" s="961"/>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3">
      <c r="A282" s="15"/>
      <c r="B282" s="776" t="s">
        <v>968</v>
      </c>
      <c r="C282" s="930"/>
      <c r="D282" s="931"/>
      <c r="E282" s="757" t="s">
        <v>573</v>
      </c>
      <c r="F282" s="758"/>
      <c r="G282" s="758"/>
      <c r="H282" s="758"/>
      <c r="I282" s="758"/>
      <c r="J282" s="758"/>
      <c r="K282" s="758"/>
      <c r="L282" s="758"/>
      <c r="M282" s="758"/>
      <c r="N282" s="758"/>
      <c r="O282" s="759"/>
      <c r="P282" s="248">
        <f>IF(T282=1,0.15,0)</f>
        <v>0</v>
      </c>
      <c r="R282" s="947"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3">
      <c r="B283" s="776"/>
      <c r="C283" s="930"/>
      <c r="D283" s="931"/>
      <c r="E283" s="757" t="s">
        <v>574</v>
      </c>
      <c r="F283" s="758"/>
      <c r="G283" s="758"/>
      <c r="H283" s="758"/>
      <c r="I283" s="758"/>
      <c r="J283" s="758"/>
      <c r="K283" s="758"/>
      <c r="L283" s="758"/>
      <c r="M283" s="758"/>
      <c r="N283" s="758"/>
      <c r="O283" s="759"/>
      <c r="P283" s="248">
        <f>IF(T283=1,0.25,0)</f>
        <v>0</v>
      </c>
      <c r="R283" s="947"/>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3">
      <c r="B284" s="776"/>
      <c r="C284" s="930"/>
      <c r="D284" s="931"/>
      <c r="E284" s="757" t="s">
        <v>788</v>
      </c>
      <c r="F284" s="758"/>
      <c r="G284" s="758"/>
      <c r="H284" s="758"/>
      <c r="I284" s="758"/>
      <c r="J284" s="758"/>
      <c r="K284" s="758"/>
      <c r="L284" s="758"/>
      <c r="M284" s="758"/>
      <c r="N284" s="758"/>
      <c r="O284" s="759"/>
      <c r="P284" s="248">
        <f>IF(T284=1,0.23,0)</f>
        <v>0</v>
      </c>
      <c r="R284" s="947"/>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3">
      <c r="B285" s="792"/>
      <c r="C285" s="792"/>
      <c r="D285" s="792"/>
      <c r="E285" s="792"/>
      <c r="F285" s="792"/>
      <c r="G285" s="792"/>
      <c r="H285" s="792"/>
      <c r="I285" s="792"/>
      <c r="J285" s="792"/>
      <c r="K285" s="792"/>
      <c r="L285" s="792"/>
      <c r="M285" s="792"/>
      <c r="N285" s="792"/>
      <c r="O285" s="792"/>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3">
      <c r="B286" s="932" t="s">
        <v>1252</v>
      </c>
      <c r="C286" s="932"/>
      <c r="D286" s="932"/>
      <c r="E286" s="932"/>
      <c r="F286" s="932"/>
      <c r="G286" s="932"/>
      <c r="H286" s="932"/>
      <c r="I286" s="932"/>
      <c r="J286" s="932"/>
      <c r="K286" s="932"/>
      <c r="L286" s="932"/>
      <c r="M286" s="932"/>
      <c r="N286" s="932"/>
      <c r="O286" s="317"/>
      <c r="P286" s="21">
        <f>SUMIF(T286:X286,O286,T287:X287)</f>
        <v>0</v>
      </c>
      <c r="R286" s="951" t="s">
        <v>2196</v>
      </c>
      <c r="S286" s="951"/>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3">
      <c r="B287" s="932" t="s">
        <v>1498</v>
      </c>
      <c r="C287" s="932"/>
      <c r="D287" s="932"/>
      <c r="E287" s="932"/>
      <c r="F287" s="932"/>
      <c r="G287" s="932"/>
      <c r="H287" s="932"/>
      <c r="I287" s="932"/>
      <c r="J287" s="932"/>
      <c r="K287" s="932"/>
      <c r="L287" s="932"/>
      <c r="M287" s="932"/>
      <c r="N287" s="932"/>
      <c r="O287" s="317"/>
      <c r="P287" s="21">
        <f>SUMIF(Z286:AD286,O287,Z287:AD287)</f>
        <v>0</v>
      </c>
      <c r="R287" s="951"/>
      <c r="S287" s="951"/>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3">
      <c r="B288" s="792"/>
      <c r="C288" s="792"/>
      <c r="D288" s="792"/>
      <c r="E288" s="792"/>
      <c r="F288" s="792"/>
      <c r="G288" s="792"/>
      <c r="H288" s="792"/>
      <c r="I288" s="792"/>
      <c r="J288" s="792"/>
      <c r="K288" s="792"/>
      <c r="L288" s="792"/>
      <c r="M288" s="792"/>
      <c r="N288" s="792"/>
      <c r="O288" s="792"/>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3">
      <c r="B289" s="879" t="s">
        <v>120</v>
      </c>
      <c r="C289" s="880"/>
      <c r="D289" s="880"/>
      <c r="E289" s="880"/>
      <c r="F289" s="881"/>
      <c r="G289" s="922" t="s">
        <v>1524</v>
      </c>
      <c r="H289" s="941"/>
      <c r="I289" s="941"/>
      <c r="J289" s="942"/>
      <c r="K289" s="1003"/>
      <c r="L289" s="1004"/>
      <c r="M289" s="1004"/>
      <c r="N289" s="1004"/>
      <c r="O289" s="1005"/>
      <c r="P289" s="872">
        <f>U303</f>
        <v>0</v>
      </c>
      <c r="R289" s="146" t="s">
        <v>1864</v>
      </c>
      <c r="S289" s="50" t="s">
        <v>1304</v>
      </c>
      <c r="T289" s="50" t="s">
        <v>1305</v>
      </c>
      <c r="U289" s="50" t="s">
        <v>1306</v>
      </c>
      <c r="V289" s="940" t="s">
        <v>801</v>
      </c>
      <c r="W289" s="941"/>
      <c r="X289" s="942"/>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3">
      <c r="B290" s="937" t="s">
        <v>628</v>
      </c>
      <c r="C290" s="938"/>
      <c r="D290" s="939"/>
      <c r="E290" s="1090">
        <f>P234</f>
        <v>0</v>
      </c>
      <c r="F290" s="1091"/>
      <c r="G290" s="925" t="s">
        <v>1941</v>
      </c>
      <c r="H290" s="925"/>
      <c r="I290" s="949"/>
      <c r="J290" s="949"/>
      <c r="K290" s="1006"/>
      <c r="L290" s="1007"/>
      <c r="M290" s="1007"/>
      <c r="N290" s="1007"/>
      <c r="O290" s="1008"/>
      <c r="P290" s="1010"/>
      <c r="R290" s="557">
        <f>E290</f>
        <v>0</v>
      </c>
      <c r="S290" s="147">
        <f>LARGE($R$290:$R$304,1)</f>
        <v>0</v>
      </c>
      <c r="T290" s="553">
        <f>S290+S291*(1-S290)</f>
        <v>0</v>
      </c>
      <c r="U290" s="557">
        <f t="shared" ref="U290:U303" si="37">ROUND(T290,2)</f>
        <v>0</v>
      </c>
      <c r="V290" s="50">
        <f>IF(E290&gt;0,1,0)</f>
        <v>0</v>
      </c>
      <c r="W290" s="50">
        <f>COUNTIF(V290:V304,1)</f>
        <v>0</v>
      </c>
      <c r="X290" s="50">
        <f>IF(AND(W290=0,W291&gt;0),1,IF(W290&gt;0,2,0))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3">
      <c r="B291" s="757" t="s">
        <v>382</v>
      </c>
      <c r="C291" s="758"/>
      <c r="D291" s="759"/>
      <c r="E291" s="770">
        <f>P237</f>
        <v>0</v>
      </c>
      <c r="F291" s="770"/>
      <c r="G291" s="925" t="s">
        <v>1941</v>
      </c>
      <c r="H291" s="925"/>
      <c r="I291" s="949"/>
      <c r="J291" s="949"/>
      <c r="K291" s="1006"/>
      <c r="L291" s="1007"/>
      <c r="M291" s="1007"/>
      <c r="N291" s="1007"/>
      <c r="O291" s="1008"/>
      <c r="P291" s="1010"/>
      <c r="R291" s="557">
        <f>E291</f>
        <v>0</v>
      </c>
      <c r="S291" s="147">
        <f>LARGE($R$290:$R$304,2)</f>
        <v>0</v>
      </c>
      <c r="T291" s="553">
        <f>U290+S292*(1-U290)</f>
        <v>0</v>
      </c>
      <c r="U291" s="557">
        <f t="shared" si="37"/>
        <v>0</v>
      </c>
      <c r="V291" s="50">
        <f>IF(E291&gt;0,2,0)</f>
        <v>0</v>
      </c>
      <c r="W291" s="50">
        <f>COUNTIF(V290:V304,2)</f>
        <v>0</v>
      </c>
      <c r="X291" s="10"/>
      <c r="Y291" s="10" t="s">
        <v>511</v>
      </c>
      <c r="AA291" s="792"/>
      <c r="AB291" s="792"/>
      <c r="AC291" s="792"/>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3">
      <c r="B292" s="757" t="s">
        <v>1958</v>
      </c>
      <c r="C292" s="758"/>
      <c r="D292" s="759"/>
      <c r="E292" s="770">
        <f>IF(E607&gt;0,0,P241)</f>
        <v>0</v>
      </c>
      <c r="F292" s="770"/>
      <c r="G292" s="1095" t="s">
        <v>2256</v>
      </c>
      <c r="H292" s="1095"/>
      <c r="I292" s="949"/>
      <c r="J292" s="949"/>
      <c r="K292" s="1006"/>
      <c r="L292" s="1007"/>
      <c r="M292" s="1007"/>
      <c r="N292" s="1007"/>
      <c r="O292" s="1008"/>
      <c r="P292" s="1010"/>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2"/>
      <c r="AB292" s="792"/>
      <c r="AC292" s="792"/>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3">
      <c r="B293" s="806" t="s">
        <v>1416</v>
      </c>
      <c r="C293" s="806"/>
      <c r="D293" s="806"/>
      <c r="E293" s="742">
        <f>P258</f>
        <v>0</v>
      </c>
      <c r="F293" s="744"/>
      <c r="G293" s="935"/>
      <c r="H293" s="935"/>
      <c r="I293" s="936">
        <f t="shared" ref="I293:I299" si="40">IF(AND(Y293&lt;0.01,Y293&gt;0),0.01,ROUND(Y293,2))</f>
        <v>0</v>
      </c>
      <c r="J293" s="936"/>
      <c r="K293" s="1006"/>
      <c r="L293" s="1007"/>
      <c r="M293" s="1007"/>
      <c r="N293" s="1007"/>
      <c r="O293" s="1008"/>
      <c r="P293" s="1010"/>
      <c r="R293" s="557">
        <f t="shared" si="38"/>
        <v>0</v>
      </c>
      <c r="S293" s="147">
        <f>LARGE($R$290:$R$304,4)</f>
        <v>0</v>
      </c>
      <c r="T293" s="553">
        <f t="shared" ref="T293:T303" si="41">U292+S294*(1-U292)</f>
        <v>0</v>
      </c>
      <c r="U293" s="557">
        <f t="shared" si="37"/>
        <v>0</v>
      </c>
      <c r="V293" s="50">
        <f t="shared" si="39"/>
        <v>0</v>
      </c>
      <c r="W293" s="10"/>
      <c r="X293" s="10"/>
      <c r="Y293" s="294">
        <f>E293*G293</f>
        <v>0</v>
      </c>
      <c r="Z293" s="604"/>
      <c r="AA293" s="792"/>
      <c r="AB293" s="792"/>
      <c r="AC293" s="792"/>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3">
      <c r="B294" s="757" t="s">
        <v>1417</v>
      </c>
      <c r="C294" s="758"/>
      <c r="D294" s="759"/>
      <c r="E294" s="742">
        <f>P259</f>
        <v>0</v>
      </c>
      <c r="F294" s="744"/>
      <c r="G294" s="935"/>
      <c r="H294" s="935"/>
      <c r="I294" s="936">
        <f t="shared" si="40"/>
        <v>0</v>
      </c>
      <c r="J294" s="936"/>
      <c r="K294" s="1006"/>
      <c r="L294" s="1007"/>
      <c r="M294" s="1007"/>
      <c r="N294" s="1007"/>
      <c r="O294" s="1008"/>
      <c r="P294" s="1010"/>
      <c r="R294" s="557">
        <f t="shared" si="38"/>
        <v>0</v>
      </c>
      <c r="S294" s="147">
        <f>LARGE($R$290:$R$304,5)</f>
        <v>0</v>
      </c>
      <c r="T294" s="553">
        <f t="shared" si="41"/>
        <v>0</v>
      </c>
      <c r="U294" s="557">
        <f t="shared" si="37"/>
        <v>0</v>
      </c>
      <c r="V294" s="50">
        <f t="shared" si="39"/>
        <v>0</v>
      </c>
      <c r="W294" s="10"/>
      <c r="X294" s="10"/>
      <c r="Y294" s="294">
        <f t="shared" ref="Y294:Y299" si="42">E294*G294</f>
        <v>0</v>
      </c>
      <c r="Z294" s="604"/>
      <c r="AA294" s="792"/>
      <c r="AB294" s="792"/>
      <c r="AC294" s="792"/>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3">
      <c r="B295" s="757" t="s">
        <v>1418</v>
      </c>
      <c r="C295" s="758"/>
      <c r="D295" s="759"/>
      <c r="E295" s="742">
        <f>P260</f>
        <v>0</v>
      </c>
      <c r="F295" s="744"/>
      <c r="G295" s="935"/>
      <c r="H295" s="935"/>
      <c r="I295" s="936">
        <f t="shared" si="40"/>
        <v>0</v>
      </c>
      <c r="J295" s="936"/>
      <c r="K295" s="1006"/>
      <c r="L295" s="1007"/>
      <c r="M295" s="1007"/>
      <c r="N295" s="1007"/>
      <c r="O295" s="1008"/>
      <c r="P295" s="1010"/>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3">
      <c r="B296" s="757" t="s">
        <v>1419</v>
      </c>
      <c r="C296" s="758"/>
      <c r="D296" s="759"/>
      <c r="E296" s="742">
        <f>P261</f>
        <v>0</v>
      </c>
      <c r="F296" s="744"/>
      <c r="G296" s="935"/>
      <c r="H296" s="935"/>
      <c r="I296" s="936">
        <f t="shared" si="40"/>
        <v>0</v>
      </c>
      <c r="J296" s="936"/>
      <c r="K296" s="1006"/>
      <c r="L296" s="1007"/>
      <c r="M296" s="1007"/>
      <c r="N296" s="1007"/>
      <c r="O296" s="1008"/>
      <c r="P296" s="1010"/>
      <c r="R296" s="557">
        <f t="shared" si="38"/>
        <v>0</v>
      </c>
      <c r="S296" s="147">
        <f>LARGE($R$290:$R$304,7)</f>
        <v>0</v>
      </c>
      <c r="T296" s="553">
        <f t="shared" si="41"/>
        <v>0</v>
      </c>
      <c r="U296" s="557">
        <f t="shared" si="37"/>
        <v>0</v>
      </c>
      <c r="V296" s="50">
        <f t="shared" si="39"/>
        <v>0</v>
      </c>
      <c r="W296" s="10"/>
      <c r="X296" s="10"/>
      <c r="Y296" s="294">
        <f t="shared" si="42"/>
        <v>0</v>
      </c>
      <c r="Z296" s="604"/>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3">
      <c r="B297" s="757" t="s">
        <v>1985</v>
      </c>
      <c r="C297" s="758"/>
      <c r="D297" s="759"/>
      <c r="E297" s="770">
        <f>P270</f>
        <v>0</v>
      </c>
      <c r="F297" s="770"/>
      <c r="G297" s="935"/>
      <c r="H297" s="935"/>
      <c r="I297" s="936">
        <f t="shared" si="40"/>
        <v>0</v>
      </c>
      <c r="J297" s="936"/>
      <c r="K297" s="1006"/>
      <c r="L297" s="1007"/>
      <c r="M297" s="1007"/>
      <c r="N297" s="1007"/>
      <c r="O297" s="1008"/>
      <c r="P297" s="1010"/>
      <c r="R297" s="557">
        <f t="shared" si="38"/>
        <v>0</v>
      </c>
      <c r="S297" s="147">
        <f>LARGE($R$290:$R$304,8)</f>
        <v>0</v>
      </c>
      <c r="T297" s="553">
        <f t="shared" si="41"/>
        <v>0</v>
      </c>
      <c r="U297" s="557">
        <f t="shared" si="37"/>
        <v>0</v>
      </c>
      <c r="V297" s="50">
        <f t="shared" si="39"/>
        <v>0</v>
      </c>
      <c r="W297" s="10"/>
      <c r="X297" s="10"/>
      <c r="Y297" s="294">
        <f t="shared" si="42"/>
        <v>0</v>
      </c>
      <c r="Z297" s="604"/>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3">
      <c r="B298" s="757" t="s">
        <v>1226</v>
      </c>
      <c r="C298" s="758"/>
      <c r="D298" s="759"/>
      <c r="E298" s="770">
        <f>P275</f>
        <v>0</v>
      </c>
      <c r="F298" s="770"/>
      <c r="G298" s="935"/>
      <c r="H298" s="935"/>
      <c r="I298" s="936">
        <f t="shared" si="40"/>
        <v>0</v>
      </c>
      <c r="J298" s="936"/>
      <c r="K298" s="633"/>
      <c r="L298" s="634"/>
      <c r="M298" s="634"/>
      <c r="N298" s="634"/>
      <c r="O298" s="635"/>
      <c r="P298" s="1010"/>
      <c r="R298" s="557">
        <f t="shared" si="38"/>
        <v>0</v>
      </c>
      <c r="S298" s="147">
        <f>LARGE($R$290:$R$304,9)</f>
        <v>0</v>
      </c>
      <c r="T298" s="553">
        <f t="shared" si="41"/>
        <v>0</v>
      </c>
      <c r="U298" s="557">
        <f t="shared" si="37"/>
        <v>0</v>
      </c>
      <c r="V298" s="50">
        <f t="shared" si="39"/>
        <v>0</v>
      </c>
      <c r="W298" s="10"/>
      <c r="X298" s="10"/>
      <c r="Y298" s="294">
        <f t="shared" si="42"/>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3">
      <c r="B299" s="757" t="s">
        <v>1232</v>
      </c>
      <c r="C299" s="758"/>
      <c r="D299" s="759"/>
      <c r="E299" s="770">
        <f>P277</f>
        <v>0</v>
      </c>
      <c r="F299" s="770"/>
      <c r="G299" s="935"/>
      <c r="H299" s="935"/>
      <c r="I299" s="936">
        <f t="shared" si="40"/>
        <v>0</v>
      </c>
      <c r="J299" s="936"/>
      <c r="K299" s="633"/>
      <c r="L299" s="634"/>
      <c r="M299" s="634"/>
      <c r="N299" s="634"/>
      <c r="O299" s="635"/>
      <c r="P299" s="1010"/>
      <c r="R299" s="557">
        <f t="shared" si="38"/>
        <v>0</v>
      </c>
      <c r="S299" s="147">
        <f>LARGE($R$290:$R$304,10)</f>
        <v>0</v>
      </c>
      <c r="T299" s="553">
        <f t="shared" si="41"/>
        <v>0</v>
      </c>
      <c r="U299" s="557">
        <f t="shared" si="37"/>
        <v>0</v>
      </c>
      <c r="V299" s="50">
        <f t="shared" si="39"/>
        <v>0</v>
      </c>
      <c r="W299" s="10"/>
      <c r="X299" s="10"/>
      <c r="Y299" s="294">
        <f t="shared" si="42"/>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3">
      <c r="B300" s="757" t="s">
        <v>383</v>
      </c>
      <c r="C300" s="758"/>
      <c r="D300" s="759"/>
      <c r="E300" s="770">
        <f>P282</f>
        <v>0</v>
      </c>
      <c r="F300" s="770"/>
      <c r="G300" s="925" t="s">
        <v>1941</v>
      </c>
      <c r="H300" s="925"/>
      <c r="I300" s="949"/>
      <c r="J300" s="949"/>
      <c r="K300" s="972" t="str">
        <f>IF(AND(P241&gt;0,E607&gt;0),"A value has been granted for motor loss. Additional impairment value is not allowed for reduced ROM in the same extremity.","")</f>
        <v/>
      </c>
      <c r="L300" s="973"/>
      <c r="M300" s="973"/>
      <c r="N300" s="973"/>
      <c r="O300" s="974"/>
      <c r="P300" s="1010"/>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3">
      <c r="B301" s="757" t="s">
        <v>384</v>
      </c>
      <c r="C301" s="758"/>
      <c r="D301" s="759"/>
      <c r="E301" s="770">
        <f>P283</f>
        <v>0</v>
      </c>
      <c r="F301" s="770"/>
      <c r="G301" s="925" t="s">
        <v>1941</v>
      </c>
      <c r="H301" s="925"/>
      <c r="I301" s="949"/>
      <c r="J301" s="949"/>
      <c r="K301" s="972"/>
      <c r="L301" s="973"/>
      <c r="M301" s="973"/>
      <c r="N301" s="973"/>
      <c r="O301" s="974"/>
      <c r="P301" s="1010"/>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3">
      <c r="B302" s="757" t="s">
        <v>807</v>
      </c>
      <c r="C302" s="758"/>
      <c r="D302" s="759"/>
      <c r="E302" s="770">
        <f>P284</f>
        <v>0</v>
      </c>
      <c r="F302" s="770"/>
      <c r="G302" s="925" t="s">
        <v>1941</v>
      </c>
      <c r="H302" s="925"/>
      <c r="I302" s="949"/>
      <c r="J302" s="949"/>
      <c r="K302" s="972"/>
      <c r="L302" s="973"/>
      <c r="M302" s="973"/>
      <c r="N302" s="973"/>
      <c r="O302" s="974"/>
      <c r="P302" s="1010"/>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3">
      <c r="B303" s="757" t="s">
        <v>1446</v>
      </c>
      <c r="C303" s="758"/>
      <c r="D303" s="759"/>
      <c r="E303" s="770">
        <f>P286</f>
        <v>0</v>
      </c>
      <c r="F303" s="770"/>
      <c r="G303" s="935"/>
      <c r="H303" s="935"/>
      <c r="I303" s="936">
        <f>IF(AND(Y303&lt;0.01,Y303&gt;0),0.01,ROUND(Y303,2))</f>
        <v>0</v>
      </c>
      <c r="J303" s="936"/>
      <c r="K303" s="972"/>
      <c r="L303" s="973"/>
      <c r="M303" s="973"/>
      <c r="N303" s="973"/>
      <c r="O303" s="974"/>
      <c r="P303" s="1010"/>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3">
      <c r="B304" s="804" t="s">
        <v>1253</v>
      </c>
      <c r="C304" s="804"/>
      <c r="D304" s="804"/>
      <c r="E304" s="872">
        <f>P287</f>
        <v>0</v>
      </c>
      <c r="F304" s="872"/>
      <c r="G304" s="1009"/>
      <c r="H304" s="1009"/>
      <c r="I304" s="992">
        <f>IF(AND(Y304&lt;0.01,Y304&gt;0),0.01,ROUND(Y304,2))</f>
        <v>0</v>
      </c>
      <c r="J304" s="992"/>
      <c r="K304" s="975"/>
      <c r="L304" s="976"/>
      <c r="M304" s="976"/>
      <c r="N304" s="976"/>
      <c r="O304" s="977"/>
      <c r="P304" s="1010"/>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3">
      <c r="B305" s="959" t="s">
        <v>1388</v>
      </c>
      <c r="C305" s="959"/>
      <c r="D305" s="959"/>
      <c r="E305" s="959"/>
      <c r="F305" s="959"/>
      <c r="G305" s="959"/>
      <c r="H305" s="959"/>
      <c r="I305" s="959"/>
      <c r="J305" s="959"/>
      <c r="K305" s="959"/>
      <c r="L305" s="959"/>
      <c r="M305" s="959"/>
      <c r="N305" s="959"/>
      <c r="O305" s="959"/>
      <c r="P305" s="996"/>
      <c r="R305" s="14"/>
      <c r="S305" s="142"/>
      <c r="T305" s="129"/>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3">
      <c r="B306" s="1124"/>
      <c r="C306" s="1124"/>
      <c r="D306" s="1124"/>
      <c r="E306" s="1124"/>
      <c r="F306" s="1124"/>
      <c r="G306" s="1124"/>
      <c r="H306" s="1124"/>
      <c r="I306" s="1124"/>
      <c r="J306" s="1124"/>
      <c r="K306" s="1124"/>
      <c r="L306" s="1124"/>
      <c r="M306" s="1124"/>
      <c r="N306" s="1124"/>
      <c r="O306" s="1124"/>
      <c r="P306" s="1124"/>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3">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3">
      <c r="B308" s="907" t="s">
        <v>1389</v>
      </c>
      <c r="C308" s="908"/>
      <c r="D308" s="908"/>
      <c r="E308" s="908"/>
      <c r="F308" s="908"/>
      <c r="G308" s="908"/>
      <c r="H308" s="908"/>
      <c r="I308" s="908"/>
      <c r="J308" s="908"/>
      <c r="K308" s="908"/>
      <c r="L308" s="908"/>
      <c r="M308" s="908"/>
      <c r="N308" s="908"/>
      <c r="O308" s="908"/>
      <c r="P308" s="909"/>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3">
      <c r="B309" s="791" t="s">
        <v>1667</v>
      </c>
      <c r="C309" s="791"/>
      <c r="D309" s="791"/>
      <c r="E309" s="791"/>
      <c r="F309" s="791"/>
      <c r="G309" s="791"/>
      <c r="H309" s="791"/>
      <c r="I309" s="791"/>
      <c r="J309" s="791"/>
      <c r="K309" s="791"/>
      <c r="L309" s="791"/>
      <c r="M309" s="791"/>
      <c r="N309" s="791"/>
      <c r="O309" s="791"/>
      <c r="P309" s="992">
        <f>SUMIF(S309:Y309,B310,S310:Y310)</f>
        <v>0</v>
      </c>
      <c r="R309" s="950"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3">
      <c r="B310" s="1014"/>
      <c r="C310" s="1014"/>
      <c r="D310" s="1014"/>
      <c r="E310" s="1014"/>
      <c r="F310" s="1014"/>
      <c r="G310" s="1014"/>
      <c r="H310" s="1014"/>
      <c r="I310" s="1014"/>
      <c r="J310" s="1014"/>
      <c r="K310" s="1014"/>
      <c r="L310" s="1014"/>
      <c r="M310" s="1014"/>
      <c r="N310" s="1014"/>
      <c r="O310" s="1014"/>
      <c r="P310" s="1082"/>
      <c r="R310" s="791"/>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3">
      <c r="B311" s="981" t="str">
        <f>IF(AND(P309&gt;0.1,B313=""),"Enter specific level of amputation or shortening below.","")</f>
        <v/>
      </c>
      <c r="C311" s="981"/>
      <c r="D311" s="981"/>
      <c r="E311" s="981"/>
      <c r="F311" s="981"/>
      <c r="G311" s="981"/>
      <c r="H311" s="981"/>
      <c r="I311" s="981"/>
      <c r="J311" s="981"/>
      <c r="K311" s="981"/>
      <c r="L311" s="981"/>
      <c r="M311" s="981"/>
      <c r="N311" s="981"/>
      <c r="O311" s="981"/>
      <c r="P311" s="981"/>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3">
      <c r="B312" s="776" t="s">
        <v>798</v>
      </c>
      <c r="C312" s="776"/>
      <c r="D312" s="776"/>
      <c r="E312" s="776"/>
      <c r="F312" s="776"/>
      <c r="G312" s="776"/>
      <c r="H312" s="776"/>
      <c r="I312" s="776"/>
      <c r="J312" s="776"/>
      <c r="K312" s="776"/>
      <c r="L312" s="776"/>
      <c r="M312" s="776"/>
      <c r="N312" s="776"/>
      <c r="O312" s="776"/>
      <c r="P312" s="992">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3">
      <c r="B313" s="1014"/>
      <c r="C313" s="1014"/>
      <c r="D313" s="1014"/>
      <c r="E313" s="1014"/>
      <c r="F313" s="1014"/>
      <c r="G313" s="1014"/>
      <c r="H313" s="1014"/>
      <c r="I313" s="1014"/>
      <c r="J313" s="1014"/>
      <c r="K313" s="1014"/>
      <c r="L313" s="1014"/>
      <c r="M313" s="1014"/>
      <c r="N313" s="1014"/>
      <c r="O313" s="1014"/>
      <c r="P313" s="1081"/>
      <c r="R313" s="77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3">
      <c r="B314" s="1042" t="s">
        <v>680</v>
      </c>
      <c r="C314" s="1043"/>
      <c r="D314" s="1043"/>
      <c r="E314" s="1043"/>
      <c r="F314" s="1043"/>
      <c r="G314" s="1043"/>
      <c r="H314" s="1043"/>
      <c r="I314" s="1043"/>
      <c r="J314" s="1043"/>
      <c r="K314" s="1043"/>
      <c r="L314" s="1043"/>
      <c r="M314" s="1043"/>
      <c r="N314" s="1043"/>
      <c r="O314" s="1044"/>
      <c r="P314" s="1082"/>
      <c r="R314" s="77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3">
      <c r="B315" s="792"/>
      <c r="C315" s="792"/>
      <c r="D315" s="792"/>
      <c r="E315" s="792"/>
      <c r="F315" s="792"/>
      <c r="G315" s="792"/>
      <c r="H315" s="792"/>
      <c r="I315" s="792"/>
      <c r="J315" s="792"/>
      <c r="K315" s="792"/>
      <c r="L315" s="792"/>
      <c r="M315" s="792"/>
      <c r="N315" s="792"/>
      <c r="O315" s="792"/>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3">
      <c r="B316" s="925" t="s">
        <v>1594</v>
      </c>
      <c r="C316" s="925"/>
      <c r="D316" s="925"/>
      <c r="E316" s="925"/>
      <c r="F316" s="925"/>
      <c r="G316" s="925"/>
      <c r="H316" s="925"/>
      <c r="I316" s="925"/>
      <c r="J316" s="925"/>
      <c r="K316" s="925"/>
      <c r="L316" s="925"/>
      <c r="M316" s="925"/>
      <c r="N316" s="925"/>
      <c r="O316" s="925"/>
      <c r="P316" s="770">
        <f>IF(R329=1,"ERROR",IF(AND(AD320&gt;0,AD320&lt;0.01),0.01,ROUND(AD320,2)))</f>
        <v>0</v>
      </c>
      <c r="R316" s="10"/>
      <c r="S316" s="10"/>
      <c r="T316" s="776" t="s">
        <v>1257</v>
      </c>
      <c r="U316" s="776" t="s">
        <v>1257</v>
      </c>
      <c r="V316" s="10"/>
      <c r="W316" s="10"/>
      <c r="X316" s="10"/>
      <c r="Y316" s="10"/>
      <c r="Z316" s="10">
        <v>2</v>
      </c>
      <c r="AA316" s="10"/>
      <c r="AB316" s="10"/>
      <c r="AC316" s="739"/>
      <c r="AD316" s="739"/>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3">
      <c r="B317" s="18" t="s">
        <v>1389</v>
      </c>
      <c r="C317" s="925" t="s">
        <v>1595</v>
      </c>
      <c r="D317" s="925"/>
      <c r="E317" s="925"/>
      <c r="F317" s="925"/>
      <c r="G317" s="927" t="s">
        <v>1081</v>
      </c>
      <c r="H317" s="927"/>
      <c r="I317" s="927"/>
      <c r="J317" s="927"/>
      <c r="K317" s="925"/>
      <c r="L317" s="925"/>
      <c r="M317" s="925"/>
      <c r="N317" s="925"/>
      <c r="O317" s="925"/>
      <c r="P317" s="770"/>
      <c r="R317" s="10"/>
      <c r="S317" s="10"/>
      <c r="T317" s="776"/>
      <c r="U317" s="776"/>
      <c r="V317" s="10"/>
      <c r="W317" s="10"/>
      <c r="X317" s="10"/>
      <c r="Y317" s="10"/>
      <c r="Z317" s="10"/>
      <c r="AA317" s="984" t="s">
        <v>2258</v>
      </c>
      <c r="AB317" s="985"/>
      <c r="AC317" s="985"/>
      <c r="AD317" s="986"/>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3">
      <c r="B318" s="18"/>
      <c r="C318" s="925" t="s">
        <v>365</v>
      </c>
      <c r="D318" s="925"/>
      <c r="E318" s="925" t="s">
        <v>1795</v>
      </c>
      <c r="F318" s="925"/>
      <c r="G318" s="925" t="s">
        <v>365</v>
      </c>
      <c r="H318" s="925"/>
      <c r="I318" s="925" t="s">
        <v>1795</v>
      </c>
      <c r="J318" s="925"/>
      <c r="K318" s="925"/>
      <c r="L318" s="925"/>
      <c r="M318" s="925"/>
      <c r="N318" s="925"/>
      <c r="O318" s="925"/>
      <c r="P318" s="770"/>
      <c r="R318" s="10"/>
      <c r="S318" s="50" t="s">
        <v>1654</v>
      </c>
      <c r="T318" s="259" t="s">
        <v>1595</v>
      </c>
      <c r="U318" s="259" t="s">
        <v>1596</v>
      </c>
      <c r="V318" s="925" t="s">
        <v>1083</v>
      </c>
      <c r="W318" s="925"/>
      <c r="X318" s="925"/>
      <c r="Y318" s="925"/>
      <c r="AA318" s="987"/>
      <c r="AB318" s="712"/>
      <c r="AC318" s="712"/>
      <c r="AD318" s="988"/>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3">
      <c r="B319" s="146" t="s">
        <v>681</v>
      </c>
      <c r="C319" s="708"/>
      <c r="D319" s="708"/>
      <c r="E319" s="948">
        <f>UETable!AV51</f>
        <v>0</v>
      </c>
      <c r="F319" s="948"/>
      <c r="G319" s="708"/>
      <c r="H319" s="708"/>
      <c r="I319" s="929">
        <f>IF(C319="",0,IF(OR(C319&lt;=0,G319&lt;=0),E319,IF(G319&lt;C319,0,UETable!BA51)))</f>
        <v>0</v>
      </c>
      <c r="J319" s="929"/>
      <c r="K319" s="946" t="str">
        <f>IF(OR(C319="NA",G319="NA"),"",IF(AND(C319&lt;&gt;"",G319=""),"Enter contralateral or NA.",IF(AND(C319="",G319&lt;&gt;""),"Need data","")))</f>
        <v/>
      </c>
      <c r="L319" s="946"/>
      <c r="M319" s="946"/>
      <c r="N319" s="946"/>
      <c r="O319" s="946"/>
      <c r="P319" s="770"/>
      <c r="R319" s="10"/>
      <c r="S319" s="50">
        <v>70</v>
      </c>
      <c r="T319" s="50" t="str">
        <f>IF(OR(C319="",C319="NA"),"",IF(C319&gt;S319,S319,IF(C319&lt;0,0,C319)))</f>
        <v/>
      </c>
      <c r="U319" s="50" t="str">
        <f>IF(OR(G319="",G319="NA"),"",IF(G319&gt;S319,S319,IF(G319&lt;0,0,G319)))</f>
        <v/>
      </c>
      <c r="V319" s="562" t="str">
        <f>IF(Y319="","",ROUND(Y319,0))</f>
        <v/>
      </c>
      <c r="W319" s="806" t="s">
        <v>1202</v>
      </c>
      <c r="X319" s="806"/>
      <c r="Y319" s="563" t="str">
        <f>IF(T319="","",IF(OR(U319="",U319=0,U319&lt;T319),T319,(T319*70)/U319))</f>
        <v/>
      </c>
      <c r="Z319" s="10"/>
      <c r="AA319" s="989"/>
      <c r="AB319" s="990"/>
      <c r="AC319" s="990"/>
      <c r="AD319" s="991"/>
      <c r="AE319" s="18">
        <f>IF(OR(E321&gt;0,E325&gt;0,E329&gt;0),1,0)</f>
        <v>0</v>
      </c>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3">
      <c r="B320" s="146" t="s">
        <v>682</v>
      </c>
      <c r="C320" s="708"/>
      <c r="D320" s="708"/>
      <c r="E320" s="948">
        <f>UETable!AV52</f>
        <v>0</v>
      </c>
      <c r="F320" s="948"/>
      <c r="G320" s="708"/>
      <c r="H320" s="708"/>
      <c r="I320" s="929">
        <f>IF(C320="",0,IF(OR(C320&gt;=70,G320&gt;=70),E320,IF(G320&gt;C320,0,UETable!BA52)))</f>
        <v>0</v>
      </c>
      <c r="J320" s="929"/>
      <c r="K320" s="946" t="str">
        <f>IF(OR(C320="NA",G320="NA"),"",IF(AND(C320&lt;&gt;"",G320=""),"Enter contralateral or NA.",IF(AND(C320="",G320&lt;&gt;""),"Need data","")))</f>
        <v/>
      </c>
      <c r="L320" s="946"/>
      <c r="M320" s="946"/>
      <c r="N320" s="946"/>
      <c r="O320" s="946"/>
      <c r="P320" s="770"/>
      <c r="S320" s="50">
        <v>70</v>
      </c>
      <c r="T320" s="50"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3">
      <c r="B321" s="146" t="s">
        <v>683</v>
      </c>
      <c r="C321" s="708"/>
      <c r="D321" s="708"/>
      <c r="E321" s="948">
        <f>IF(AND(C321&lt;&gt;"",C321&lt;&gt;"NA",C320&lt;&gt;"NA",C320&lt;&gt;""),"ERROR",IF(AND(C321&lt;&gt;"",C321&lt;&gt;"NA",C319&lt;&gt;"",C319&lt;&gt;"NA"),"ERROR",UETable!AV53))</f>
        <v>0</v>
      </c>
      <c r="F321" s="948"/>
      <c r="G321" s="946" t="str">
        <f>IF(AND(C321&lt;&gt;"",C321&lt;&gt;"NA",C320&lt;&gt;"NA",C320&lt;&gt;""),"ERROR: Cannot rate ROM and ankylosis.",IF(AND(C321&lt;&gt;"",C321&lt;&gt;"NA",C319&lt;&gt;"",C319&lt;&gt;"NA"),"ERROR: Cannot rate ROM and ankylosis.",""))</f>
        <v/>
      </c>
      <c r="H321" s="946"/>
      <c r="I321" s="946"/>
      <c r="J321" s="946"/>
      <c r="K321" s="946"/>
      <c r="L321" s="946"/>
      <c r="M321" s="946"/>
      <c r="N321" s="946"/>
      <c r="O321" s="946"/>
      <c r="P321" s="770"/>
      <c r="R321" s="10"/>
      <c r="S321" s="50">
        <v>70</v>
      </c>
      <c r="T321" s="50"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3">
      <c r="B322" s="993"/>
      <c r="C322" s="994"/>
      <c r="D322" s="994"/>
      <c r="E322" s="994"/>
      <c r="F322" s="994"/>
      <c r="G322" s="994"/>
      <c r="H322" s="994"/>
      <c r="I322" s="994"/>
      <c r="J322" s="995"/>
      <c r="K322" s="958" t="s">
        <v>1841</v>
      </c>
      <c r="L322" s="958"/>
      <c r="M322" s="958"/>
      <c r="N322" s="958"/>
      <c r="O322" s="65">
        <f>IF(E321="ERROR","ERROR",IF(R322&gt;1,1,R322))</f>
        <v>0</v>
      </c>
      <c r="P322" s="770"/>
      <c r="R322" s="194">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3">
      <c r="B323" s="146" t="s">
        <v>684</v>
      </c>
      <c r="C323" s="708"/>
      <c r="D323" s="708"/>
      <c r="E323" s="948">
        <f>UETable!AV55</f>
        <v>0</v>
      </c>
      <c r="F323" s="948"/>
      <c r="G323" s="708"/>
      <c r="H323" s="708"/>
      <c r="I323" s="929">
        <f>IF(C323="",0,IF(OR(C323&lt;=0,G323&lt;=0),E323,IF(G323&lt;C323,0,UETable!BA55)))</f>
        <v>0</v>
      </c>
      <c r="J323" s="929"/>
      <c r="K323" s="946" t="str">
        <f>IF(OR(C323="NA",G323="NA"),"",IF(AND(C323&lt;&gt;"",G323=""),"Enter contralateral or NA.",IF(AND(C323="",G323&lt;&gt;""),"Need data","")))</f>
        <v/>
      </c>
      <c r="L323" s="946"/>
      <c r="M323" s="946"/>
      <c r="N323" s="946"/>
      <c r="O323" s="946"/>
      <c r="P323" s="770"/>
      <c r="R323" s="10"/>
      <c r="S323" s="50">
        <v>100</v>
      </c>
      <c r="T323" s="50" t="str">
        <f>IF(OR(C323="",C323="NA"),"",IF(C323&gt;S323,S323,IF(C323&lt;0,0,C323)))</f>
        <v/>
      </c>
      <c r="U323" s="50" t="str">
        <f>IF(OR(G323="",G323="NA"),"",IF(G323&gt;S323,S323,IF(G323&lt;0,0,G323)))</f>
        <v/>
      </c>
      <c r="V323" s="562" t="str">
        <f>IF(Y323="","",ROUND(Y323,0))</f>
        <v/>
      </c>
      <c r="W323" s="806" t="s">
        <v>1202</v>
      </c>
      <c r="X323" s="806"/>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3">
      <c r="B324" s="146" t="s">
        <v>685</v>
      </c>
      <c r="C324" s="708"/>
      <c r="D324" s="708"/>
      <c r="E324" s="948">
        <f>UETable!AV56</f>
        <v>0</v>
      </c>
      <c r="F324" s="948"/>
      <c r="G324" s="708"/>
      <c r="H324" s="708"/>
      <c r="I324" s="929">
        <f>IF(C324="",0,IF(OR(C324&gt;=100,G324&gt;=100),E324,IF(G324&gt;C324,0,UETable!BA56)))</f>
        <v>0</v>
      </c>
      <c r="J324" s="929"/>
      <c r="K324" s="946" t="str">
        <f>IF(OR(C324="NA",G324="NA"),"",IF(AND(C324&lt;&gt;"",G324=""),"Enter contralateral or NA.",IF(AND(C324="",G324&lt;&gt;""),"Need data","")))</f>
        <v/>
      </c>
      <c r="L324" s="946"/>
      <c r="M324" s="946"/>
      <c r="N324" s="946"/>
      <c r="O324" s="946"/>
      <c r="P324" s="770"/>
      <c r="S324" s="50">
        <v>100</v>
      </c>
      <c r="T324" s="50"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3">
      <c r="B325" s="146" t="s">
        <v>686</v>
      </c>
      <c r="C325" s="708"/>
      <c r="D325" s="708"/>
      <c r="E325" s="948">
        <f>IF(AND(C325&lt;&gt;"",C325&lt;&gt;"NA",C324&lt;&gt;"NA",C324&lt;&gt;""),"ERROR",IF(AND(C325&lt;&gt;"",C325&lt;&gt;"NA",C323&lt;&gt;"",C323&lt;&gt;"NA"),"ERROR",UETable!AV57))</f>
        <v>0</v>
      </c>
      <c r="F325" s="948"/>
      <c r="G325" s="946" t="str">
        <f>IF(AND(C325&lt;&gt;"",C325&lt;&gt;"NA",C324&lt;&gt;"NA",C324&lt;&gt;""),"ERROR: Cannot rate ROM and ankylosis.",IF(AND(C325&lt;&gt;"",C325&lt;&gt;"NA",C323&lt;&gt;"",C323&lt;&gt;"NA"),"ERROR: Cannot rate ROM and ankylosis.",""))</f>
        <v/>
      </c>
      <c r="H325" s="946"/>
      <c r="I325" s="946"/>
      <c r="J325" s="946"/>
      <c r="K325" s="946"/>
      <c r="L325" s="946"/>
      <c r="M325" s="946"/>
      <c r="N325" s="946"/>
      <c r="O325" s="946"/>
      <c r="P325" s="770"/>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3">
      <c r="B326" s="993"/>
      <c r="C326" s="994"/>
      <c r="D326" s="994"/>
      <c r="E326" s="994"/>
      <c r="F326" s="994"/>
      <c r="G326" s="994"/>
      <c r="H326" s="994"/>
      <c r="I326" s="994"/>
      <c r="J326" s="995"/>
      <c r="K326" s="958" t="s">
        <v>1841</v>
      </c>
      <c r="L326" s="958"/>
      <c r="M326" s="958"/>
      <c r="N326" s="958"/>
      <c r="O326" s="65">
        <f>IF(E325="ERROR","ERROR",IF(R326&gt;1,1,R326))</f>
        <v>0</v>
      </c>
      <c r="P326" s="770"/>
      <c r="R326" s="194">
        <f>SUM(I323,I324,E325)</f>
        <v>0</v>
      </c>
      <c r="S326" s="1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3">
      <c r="B327" s="146" t="s">
        <v>1577</v>
      </c>
      <c r="C327" s="708"/>
      <c r="D327" s="708"/>
      <c r="E327" s="948">
        <f>UETable!AV59</f>
        <v>0</v>
      </c>
      <c r="F327" s="948"/>
      <c r="G327" s="708"/>
      <c r="H327" s="708"/>
      <c r="I327" s="929">
        <f>IF(C327="",0,IF(OR(C327&lt;=0,G327&lt;=0),E327,IF(G327&lt;C327,0,UETable!BA59)))</f>
        <v>0</v>
      </c>
      <c r="J327" s="929"/>
      <c r="K327" s="946" t="str">
        <f>IF(OR(C327="NA",G327="NA"),"",IF(AND(C327&lt;&gt;"",G327=""),"Enter contralateral or NA.",IF(AND(C327="",G327&lt;&gt;""),"Need data","")))</f>
        <v/>
      </c>
      <c r="L327" s="946"/>
      <c r="M327" s="946"/>
      <c r="N327" s="946"/>
      <c r="O327" s="946"/>
      <c r="P327" s="770"/>
      <c r="R327" s="10"/>
      <c r="S327" s="50">
        <v>90</v>
      </c>
      <c r="T327" s="50" t="str">
        <f>IF(OR(C327="",C327="NA"),"",IF(C327&gt;S327,S327,IF(C327&lt;0,0,C327)))</f>
        <v/>
      </c>
      <c r="U327" s="50" t="str">
        <f>IF(OR(G327="",G327="NA"),"",IF(G327&gt;S327,S327,IF(G327&lt;0,0,G327)))</f>
        <v/>
      </c>
      <c r="V327" s="562" t="str">
        <f>IF(Y327="","",ROUND(Y327,0))</f>
        <v/>
      </c>
      <c r="W327" s="806" t="s">
        <v>1202</v>
      </c>
      <c r="X327" s="806"/>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3">
      <c r="B328" s="146" t="s">
        <v>1578</v>
      </c>
      <c r="C328" s="708"/>
      <c r="D328" s="708"/>
      <c r="E328" s="948">
        <f>UETable!AV60</f>
        <v>0</v>
      </c>
      <c r="F328" s="948"/>
      <c r="G328" s="708"/>
      <c r="H328" s="708"/>
      <c r="I328" s="929">
        <f>IF(C328="",0,IF(OR(C328&gt;=90,G328&gt;=90),E328,IF(G328&gt;C328,0,UETable!BA60)))</f>
        <v>0</v>
      </c>
      <c r="J328" s="929"/>
      <c r="K328" s="946" t="str">
        <f>IF(OR(C328="NA",G328="NA"),"",IF(AND(C328&lt;&gt;"",G328=""),"Enter contralateral or NA.",IF(AND(C328="",G328&lt;&gt;""),"Need data","")))</f>
        <v/>
      </c>
      <c r="L328" s="946"/>
      <c r="M328" s="946"/>
      <c r="N328" s="946"/>
      <c r="O328" s="946"/>
      <c r="P328" s="770"/>
      <c r="R328" s="10"/>
      <c r="S328" s="50">
        <v>90</v>
      </c>
      <c r="T328" s="280"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3">
      <c r="B329" s="146" t="s">
        <v>643</v>
      </c>
      <c r="C329" s="708"/>
      <c r="D329" s="708"/>
      <c r="E329" s="948">
        <f>IF(AND(C329&lt;&gt;"",C329&lt;&gt;"NA",C328&lt;&gt;"NA",C328&lt;&gt;""),"ERROR",IF(AND(C329&lt;&gt;"",C329&lt;&gt;"NA",C327&lt;&gt;"",C327&lt;&gt;"NA"),"ERROR",UETable!AV61))</f>
        <v>0</v>
      </c>
      <c r="F329" s="948"/>
      <c r="G329" s="946" t="str">
        <f>IF(AND(C329&lt;&gt;"",C329&lt;&gt;"NA",C328&lt;&gt;"NA",C328&lt;&gt;""),"ERROR: Cannot rate ROM and ankylosis.",IF(AND(C329&lt;&gt;"",C329&lt;&gt;"NA",C327&lt;&gt;"",C327&lt;&gt;"NA"),"ERROR: Cannot rate ROM and ankylosis.",""))</f>
        <v/>
      </c>
      <c r="H329" s="946"/>
      <c r="I329" s="946"/>
      <c r="J329" s="946"/>
      <c r="K329" s="946"/>
      <c r="L329" s="946"/>
      <c r="M329" s="946"/>
      <c r="N329" s="946"/>
      <c r="O329" s="946"/>
      <c r="P329" s="770"/>
      <c r="R329" s="50">
        <f>IF(OR(O322="ERROR",O326="ERROR",O330="ERROR"),1,0)</f>
        <v>0</v>
      </c>
      <c r="S329" s="50">
        <v>90</v>
      </c>
      <c r="T329" s="50"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3">
      <c r="B330" s="636"/>
      <c r="C330" s="637"/>
      <c r="D330" s="637"/>
      <c r="E330" s="1138" t="str">
        <f>IF(AND(OR(E321&gt;0,E325&gt;0,E329&gt;0),C331&gt;0),"Note: Ankylosis is not apportioned.","")</f>
        <v/>
      </c>
      <c r="F330" s="1138"/>
      <c r="G330" s="1138"/>
      <c r="H330" s="1138"/>
      <c r="I330" s="1138"/>
      <c r="J330" s="958" t="s">
        <v>1841</v>
      </c>
      <c r="K330" s="958"/>
      <c r="L330" s="958"/>
      <c r="M330" s="958"/>
      <c r="N330" s="958"/>
      <c r="O330" s="65">
        <f>IF(E329="ERROR","ERROR",IF(R330&gt;1,1,R330))</f>
        <v>0</v>
      </c>
      <c r="P330" s="77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3">
      <c r="B331" s="13" t="s">
        <v>2255</v>
      </c>
      <c r="C331" s="935"/>
      <c r="D331" s="960"/>
      <c r="E331" s="1138"/>
      <c r="F331" s="1138"/>
      <c r="G331" s="1138"/>
      <c r="H331" s="1138"/>
      <c r="I331" s="1138"/>
      <c r="J331" s="958" t="s">
        <v>1669</v>
      </c>
      <c r="K331" s="958"/>
      <c r="L331" s="958"/>
      <c r="M331" s="958"/>
      <c r="N331" s="958"/>
      <c r="O331" s="958"/>
      <c r="P331" s="77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3">
      <c r="B332" s="792"/>
      <c r="C332" s="792"/>
      <c r="D332" s="792"/>
      <c r="E332" s="792"/>
      <c r="F332" s="792"/>
      <c r="G332" s="792"/>
      <c r="H332" s="792"/>
      <c r="I332" s="792"/>
      <c r="J332" s="792"/>
      <c r="K332" s="792"/>
      <c r="L332" s="792"/>
      <c r="M332" s="792"/>
      <c r="N332" s="792"/>
      <c r="O332" s="792"/>
      <c r="R332" s="10"/>
      <c r="S332" s="878" t="s">
        <v>2196</v>
      </c>
      <c r="T332" s="878"/>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3">
      <c r="A333" s="15"/>
      <c r="B333" s="964" t="s">
        <v>971</v>
      </c>
      <c r="C333" s="965"/>
      <c r="D333" s="934"/>
      <c r="E333" s="934"/>
      <c r="F333" s="971" t="s">
        <v>1228</v>
      </c>
      <c r="G333" s="971"/>
      <c r="H333" s="971"/>
      <c r="I333" s="971"/>
      <c r="J333" s="971"/>
      <c r="K333" s="971"/>
      <c r="L333" s="971"/>
      <c r="M333" s="971"/>
      <c r="N333" s="971"/>
      <c r="O333" s="971"/>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3">
      <c r="B334" s="966"/>
      <c r="C334" s="967"/>
      <c r="D334" s="934"/>
      <c r="E334" s="934"/>
      <c r="F334" s="971" t="s">
        <v>1230</v>
      </c>
      <c r="G334" s="971"/>
      <c r="H334" s="971"/>
      <c r="I334" s="971"/>
      <c r="J334" s="971"/>
      <c r="K334" s="971"/>
      <c r="L334" s="971"/>
      <c r="M334" s="971"/>
      <c r="N334" s="971"/>
      <c r="O334" s="971"/>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3">
      <c r="B335" s="966"/>
      <c r="C335" s="967"/>
      <c r="D335" s="934"/>
      <c r="E335" s="934"/>
      <c r="F335" s="971" t="s">
        <v>1229</v>
      </c>
      <c r="G335" s="971"/>
      <c r="H335" s="971"/>
      <c r="I335" s="971"/>
      <c r="J335" s="971"/>
      <c r="K335" s="971"/>
      <c r="L335" s="971"/>
      <c r="M335" s="971"/>
      <c r="N335" s="971"/>
      <c r="O335" s="971"/>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3">
      <c r="B336" s="968"/>
      <c r="C336" s="969"/>
      <c r="D336" s="934"/>
      <c r="E336" s="934"/>
      <c r="F336" s="971" t="s">
        <v>1231</v>
      </c>
      <c r="G336" s="971"/>
      <c r="H336" s="971"/>
      <c r="I336" s="971"/>
      <c r="J336" s="971"/>
      <c r="K336" s="971"/>
      <c r="L336" s="971"/>
      <c r="M336" s="971"/>
      <c r="N336" s="971"/>
      <c r="O336" s="971"/>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3">
      <c r="B337" s="792"/>
      <c r="C337" s="792"/>
      <c r="D337" s="792"/>
      <c r="E337" s="792"/>
      <c r="F337" s="792"/>
      <c r="G337" s="792"/>
      <c r="H337" s="792"/>
      <c r="I337" s="792"/>
      <c r="J337" s="792"/>
      <c r="K337" s="792"/>
      <c r="L337" s="792"/>
      <c r="M337" s="792"/>
      <c r="N337" s="792"/>
      <c r="O337" s="792"/>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3">
      <c r="B338" s="485"/>
      <c r="C338" s="1012" t="s">
        <v>248</v>
      </c>
      <c r="D338" s="983"/>
      <c r="E338" s="982" t="s">
        <v>249</v>
      </c>
      <c r="F338" s="983"/>
      <c r="G338" s="355"/>
      <c r="H338" s="357"/>
      <c r="I338" s="1011" t="s">
        <v>250</v>
      </c>
      <c r="J338" s="983"/>
      <c r="K338" s="477"/>
      <c r="L338" s="357"/>
      <c r="M338" s="982" t="s">
        <v>249</v>
      </c>
      <c r="N338" s="983"/>
      <c r="O338" s="356"/>
      <c r="P338" s="492"/>
      <c r="Z338" s="482"/>
      <c r="AE338" s="481"/>
      <c r="AF338" s="481"/>
      <c r="AG338" s="481"/>
      <c r="AH338" s="481"/>
      <c r="AI338" s="481"/>
      <c r="AJ338" s="481"/>
      <c r="AK338" s="481"/>
      <c r="AL338" s="481"/>
      <c r="AM338" s="481"/>
      <c r="AN338" s="481"/>
    </row>
    <row r="339" spans="2:109" ht="12" customHeight="1" x14ac:dyDescent="0.3">
      <c r="B339" s="486"/>
      <c r="C339" s="970" t="s">
        <v>251</v>
      </c>
      <c r="D339" s="963"/>
      <c r="E339" s="970" t="s">
        <v>252</v>
      </c>
      <c r="F339" s="963"/>
      <c r="G339" s="970" t="s">
        <v>253</v>
      </c>
      <c r="H339" s="963"/>
      <c r="I339" s="962" t="s">
        <v>254</v>
      </c>
      <c r="J339" s="963"/>
      <c r="K339" s="970" t="s">
        <v>255</v>
      </c>
      <c r="L339" s="963"/>
      <c r="M339" s="970" t="s">
        <v>256</v>
      </c>
      <c r="N339" s="963"/>
      <c r="P339" s="493"/>
      <c r="Z339" s="332"/>
      <c r="AE339" s="481"/>
      <c r="AF339" s="481"/>
      <c r="AG339" s="481"/>
      <c r="AH339" s="481"/>
      <c r="AI339" s="481"/>
      <c r="AJ339" s="481"/>
      <c r="AK339" s="481"/>
      <c r="AL339" s="481"/>
      <c r="AM339" s="481"/>
      <c r="AN339" s="481"/>
    </row>
    <row r="340" spans="2:109" ht="12" customHeight="1" x14ac:dyDescent="0.3">
      <c r="B340" s="486"/>
      <c r="C340" s="943" t="s">
        <v>257</v>
      </c>
      <c r="D340" s="944"/>
      <c r="E340" s="943" t="s">
        <v>258</v>
      </c>
      <c r="F340" s="944"/>
      <c r="G340" s="943" t="s">
        <v>259</v>
      </c>
      <c r="H340" s="944"/>
      <c r="I340" s="1013" t="s">
        <v>260</v>
      </c>
      <c r="J340" s="944"/>
      <c r="K340" s="943" t="s">
        <v>259</v>
      </c>
      <c r="L340" s="944"/>
      <c r="M340" s="943" t="s">
        <v>258</v>
      </c>
      <c r="N340" s="944"/>
      <c r="P340" s="493"/>
      <c r="AH340" s="146">
        <v>1</v>
      </c>
      <c r="AI340" s="146">
        <v>2</v>
      </c>
      <c r="AJ340" s="146">
        <v>3</v>
      </c>
      <c r="AK340" s="146">
        <v>4</v>
      </c>
      <c r="AM340" s="481"/>
      <c r="AN340" s="481"/>
      <c r="AO340" s="481"/>
      <c r="AP340" s="481"/>
      <c r="AQ340" s="481"/>
      <c r="AR340" s="481"/>
      <c r="AS340" s="481"/>
      <c r="AT340" s="481"/>
      <c r="AU340" s="481"/>
      <c r="AV340" s="481"/>
    </row>
    <row r="341" spans="2:109" ht="12" customHeight="1" x14ac:dyDescent="0.3">
      <c r="B341" s="548" t="s">
        <v>1985</v>
      </c>
      <c r="C341" s="1001" t="s">
        <v>261</v>
      </c>
      <c r="D341" s="1002"/>
      <c r="E341" s="1001" t="s">
        <v>261</v>
      </c>
      <c r="F341" s="1002"/>
      <c r="G341" s="1001" t="s">
        <v>261</v>
      </c>
      <c r="H341" s="1002"/>
      <c r="I341" s="1001" t="s">
        <v>261</v>
      </c>
      <c r="J341" s="1002"/>
      <c r="K341" s="1001" t="s">
        <v>261</v>
      </c>
      <c r="L341" s="1002"/>
      <c r="M341" s="1001" t="s">
        <v>261</v>
      </c>
      <c r="N341" s="1002"/>
      <c r="P341" s="493"/>
      <c r="S341" s="907" t="s">
        <v>2196</v>
      </c>
      <c r="T341" s="908"/>
      <c r="U341" s="908"/>
      <c r="V341" s="908"/>
      <c r="W341" s="908"/>
      <c r="X341" s="909"/>
      <c r="Y341" s="480"/>
      <c r="Z341" s="480"/>
      <c r="AA341" s="952" t="s">
        <v>2196</v>
      </c>
      <c r="AB341" s="953"/>
      <c r="AC341" s="953"/>
      <c r="AD341" s="953"/>
      <c r="AE341" s="953"/>
      <c r="AF341" s="954"/>
      <c r="AG341" s="480"/>
      <c r="AH341" s="910" t="s">
        <v>2196</v>
      </c>
      <c r="AI341" s="911"/>
      <c r="AJ341" s="911"/>
      <c r="AK341" s="911"/>
      <c r="AL341" s="911"/>
      <c r="AM341" s="912"/>
      <c r="AO341" s="907" t="s">
        <v>2196</v>
      </c>
      <c r="AP341" s="908"/>
      <c r="AQ341" s="908"/>
      <c r="AR341" s="908"/>
      <c r="AS341" s="909"/>
      <c r="AU341" s="907" t="s">
        <v>2196</v>
      </c>
      <c r="AV341" s="908"/>
      <c r="AW341" s="908"/>
      <c r="AX341" s="909"/>
      <c r="AZ341" s="907" t="s">
        <v>2196</v>
      </c>
      <c r="BA341" s="908"/>
      <c r="BB341" s="908"/>
      <c r="BC341" s="908"/>
      <c r="BD341" s="908"/>
      <c r="BE341" s="908"/>
      <c r="BF341" s="908"/>
      <c r="BG341" s="909"/>
      <c r="BI341" s="907" t="s">
        <v>2196</v>
      </c>
      <c r="BJ341" s="908"/>
      <c r="BK341" s="908"/>
      <c r="BL341" s="908"/>
      <c r="BM341" s="908"/>
      <c r="BN341" s="909"/>
    </row>
    <row r="342" spans="2:109" customFormat="1" ht="15" customHeight="1" x14ac:dyDescent="0.3">
      <c r="B342" s="146" t="s">
        <v>1602</v>
      </c>
      <c r="C342" s="945"/>
      <c r="D342" s="945"/>
      <c r="E342" s="945"/>
      <c r="F342" s="945"/>
      <c r="G342" s="945"/>
      <c r="H342" s="945"/>
      <c r="I342" s="945"/>
      <c r="J342" s="945"/>
      <c r="K342" s="945"/>
      <c r="L342" s="945"/>
      <c r="M342" s="945"/>
      <c r="N342" s="945"/>
      <c r="P342" s="494"/>
      <c r="S342" s="304">
        <f>IF(C342="",0,C342)</f>
        <v>0</v>
      </c>
      <c r="T342" s="304">
        <f>IF(E342&lt;&gt;"",E342,IF(S342&gt;0,S342,0))</f>
        <v>0</v>
      </c>
      <c r="U342" s="304">
        <f>IF(G342&lt;&gt;"",G342,IF(T342&gt;0,T342,0))</f>
        <v>0</v>
      </c>
      <c r="V342" s="304">
        <f>IF(I342&lt;&gt;"",I342,IF(U342&gt;0,U342,0))</f>
        <v>0</v>
      </c>
      <c r="W342" s="304">
        <f>IF(K342&lt;&gt;"",K342,IF(V342&gt;0,V342,0))</f>
        <v>0</v>
      </c>
      <c r="X342" s="304">
        <f>IF(M342&lt;&gt;"",M342,IF(W342&gt;0,W342,0))</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907" t="s">
        <v>2196</v>
      </c>
      <c r="BS342" s="908"/>
      <c r="BT342" s="908"/>
      <c r="BU342" s="908"/>
      <c r="BV342" s="908"/>
      <c r="BW342" s="908"/>
      <c r="BX342" s="908"/>
      <c r="BY342" s="908"/>
      <c r="BZ342" s="908"/>
      <c r="CA342" s="909"/>
    </row>
    <row r="343" spans="2:109" customFormat="1" ht="15" customHeight="1" x14ac:dyDescent="0.3">
      <c r="B343" s="304" t="s">
        <v>1603</v>
      </c>
      <c r="C343" s="945"/>
      <c r="D343" s="945"/>
      <c r="E343" s="945"/>
      <c r="F343" s="945"/>
      <c r="G343" s="945"/>
      <c r="H343" s="945"/>
      <c r="I343" s="945"/>
      <c r="J343" s="945"/>
      <c r="K343" s="945"/>
      <c r="L343" s="945"/>
      <c r="M343" s="945"/>
      <c r="N343" s="945"/>
      <c r="P343" s="494"/>
      <c r="S343" s="304">
        <f>IF(C343="",0,C343)</f>
        <v>0</v>
      </c>
      <c r="T343" s="304">
        <f>IF(E343&lt;&gt;"",E343,IF(S343&gt;0,S343,0))</f>
        <v>0</v>
      </c>
      <c r="U343" s="304">
        <f>IF(G343&lt;&gt;"",G343,IF(T343&gt;0,T343,0))</f>
        <v>0</v>
      </c>
      <c r="V343" s="304">
        <f>IF(I343&lt;&gt;"",I343,IF(U343&gt;0,U343,0))</f>
        <v>0</v>
      </c>
      <c r="W343" s="304">
        <f>IF(K343&lt;&gt;"",K343,IF(V343&gt;0,V343,0))</f>
        <v>0</v>
      </c>
      <c r="X343" s="304">
        <f>IF(M343&lt;&gt;"",M343,IF(W343&gt;0,W343,0))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109" customFormat="1" ht="15" customHeight="1" x14ac:dyDescent="0.3">
      <c r="B344" s="487" t="s">
        <v>1604</v>
      </c>
      <c r="C344" s="1016"/>
      <c r="D344" s="1016"/>
      <c r="E344" s="1016"/>
      <c r="F344" s="1016"/>
      <c r="G344" s="1016"/>
      <c r="H344" s="1016"/>
      <c r="I344" s="1016"/>
      <c r="J344" s="1016"/>
      <c r="K344" s="1016"/>
      <c r="L344" s="1016"/>
      <c r="M344" s="1016"/>
      <c r="N344" s="1016"/>
      <c r="P344" s="500"/>
      <c r="S344" s="304">
        <f>IF(C344="",0,C344)</f>
        <v>0</v>
      </c>
      <c r="T344" s="304">
        <f>IF(E344&lt;&gt;"",E344,IF(S344&gt;0,S344,0))</f>
        <v>0</v>
      </c>
      <c r="U344" s="304">
        <f>IF(G344&lt;&gt;"",G344,IF(T344&gt;0,T344,0))</f>
        <v>0</v>
      </c>
      <c r="V344" s="304">
        <f>IF(I344&lt;&gt;"",I344,IF(U344&gt;0,U344,0))</f>
        <v>0</v>
      </c>
      <c r="W344" s="304">
        <f>IF(K344&lt;&gt;"",K344,IF(V344&gt;0,V344,0))</f>
        <v>0</v>
      </c>
      <c r="X344" s="304">
        <f>IF(M344&lt;&gt;"",M344,IF(W344&gt;0,W344,0))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109" customFormat="1" ht="15" customHeight="1" x14ac:dyDescent="0.3">
      <c r="B345" s="1121" t="str">
        <f>IF(AD345=1,"ERROR: If radial or ulnar impairment is recorded, do not enter losses for 'both sides.'","")</f>
        <v/>
      </c>
      <c r="C345" s="1122"/>
      <c r="D345" s="1122"/>
      <c r="E345" s="1122"/>
      <c r="F345" s="1122"/>
      <c r="G345" s="1122"/>
      <c r="H345" s="1122"/>
      <c r="I345" s="1122"/>
      <c r="J345" s="1122"/>
      <c r="K345" s="1122"/>
      <c r="L345" s="1122"/>
      <c r="M345" s="1122"/>
      <c r="N345" s="1122"/>
      <c r="O345" s="1123"/>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304"/>
      <c r="AF345" s="304"/>
    </row>
    <row r="346" spans="2:109" customFormat="1" ht="15" customHeight="1" x14ac:dyDescent="0.3">
      <c r="B346" s="355" t="s">
        <v>1226</v>
      </c>
      <c r="C346" s="495"/>
      <c r="D346" s="495"/>
      <c r="E346" s="495"/>
      <c r="F346" s="495"/>
      <c r="G346" s="495"/>
      <c r="H346" s="495"/>
      <c r="I346" s="501"/>
      <c r="J346" s="495"/>
      <c r="K346" s="502"/>
      <c r="L346" s="502"/>
      <c r="M346" s="502"/>
      <c r="N346" s="502"/>
      <c r="O346" s="502"/>
      <c r="P346" s="492"/>
      <c r="S346" s="480"/>
      <c r="T346" s="480"/>
      <c r="U346" s="480"/>
      <c r="V346" s="480"/>
      <c r="W346" s="480"/>
      <c r="AA346" s="480"/>
      <c r="AB346" s="480"/>
      <c r="AC346" s="480"/>
      <c r="AD346" s="480"/>
      <c r="AE346" s="480"/>
      <c r="AF346" s="480"/>
    </row>
    <row r="347" spans="2:109" customFormat="1" ht="15" customHeight="1" x14ac:dyDescent="0.3">
      <c r="B347" s="146" t="s">
        <v>1602</v>
      </c>
      <c r="C347" s="945"/>
      <c r="D347" s="945"/>
      <c r="E347" s="945"/>
      <c r="F347" s="945"/>
      <c r="G347" s="945"/>
      <c r="H347" s="945"/>
      <c r="I347" s="945"/>
      <c r="J347" s="945"/>
      <c r="K347" s="945"/>
      <c r="L347" s="945"/>
      <c r="M347" s="945"/>
      <c r="N347" s="945"/>
      <c r="O347" s="495"/>
      <c r="P347" s="498"/>
      <c r="S347" s="304">
        <f>IF(C347="",0,C347)</f>
        <v>0</v>
      </c>
      <c r="T347" s="304">
        <f>IF(E347&lt;&gt;"",E347,IF(S347&gt;0,S347,0))</f>
        <v>0</v>
      </c>
      <c r="U347" s="304">
        <f>IF(G347&lt;&gt;"",G347,IF(T347&gt;0,T347,0))</f>
        <v>0</v>
      </c>
      <c r="V347" s="304">
        <f>IF(I347&lt;&gt;"",I347,IF(U347&gt;0,U347,0))</f>
        <v>0</v>
      </c>
      <c r="W347" s="304">
        <f>IF(K347&lt;&gt;"",K347,IF(V347&gt;0,V347,0))</f>
        <v>0</v>
      </c>
      <c r="X347" s="304">
        <f>IF(M347&lt;&gt;"",M347,IF(W347&gt;0,W347,0))</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109" customFormat="1" ht="15" customHeight="1" x14ac:dyDescent="0.3">
      <c r="B348" s="304" t="s">
        <v>1603</v>
      </c>
      <c r="C348" s="945"/>
      <c r="D348" s="945"/>
      <c r="E348" s="945"/>
      <c r="F348" s="945"/>
      <c r="G348" s="945"/>
      <c r="H348" s="945"/>
      <c r="I348" s="945"/>
      <c r="J348" s="945"/>
      <c r="K348" s="945"/>
      <c r="L348" s="945"/>
      <c r="M348" s="945"/>
      <c r="N348" s="945"/>
      <c r="P348" s="499"/>
      <c r="S348" s="304">
        <f>IF(C348="",0,C348)</f>
        <v>0</v>
      </c>
      <c r="T348" s="304">
        <f>IF(E348&lt;&gt;"",E348,IF(S348&gt;0,S348,0))</f>
        <v>0</v>
      </c>
      <c r="U348" s="304">
        <f>IF(G348&lt;&gt;"",G348,IF(T348&gt;0,T348,0))</f>
        <v>0</v>
      </c>
      <c r="V348" s="304">
        <f>IF(I348&lt;&gt;"",I348,IF(U348&gt;0,U348,0))</f>
        <v>0</v>
      </c>
      <c r="W348" s="304">
        <f>IF(K348&lt;&gt;"",K348,IF(V348&gt;0,V348,0))</f>
        <v>0</v>
      </c>
      <c r="X348" s="304">
        <f>IF(M348&lt;&gt;"",M348,IF(W348&gt;0,W348,0))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109" customFormat="1" ht="15" customHeight="1" x14ac:dyDescent="0.3">
      <c r="B349" s="487" t="s">
        <v>1604</v>
      </c>
      <c r="C349" s="1016"/>
      <c r="D349" s="1016"/>
      <c r="E349" s="1016"/>
      <c r="F349" s="1016"/>
      <c r="G349" s="1016"/>
      <c r="H349" s="1016"/>
      <c r="I349" s="1016"/>
      <c r="J349" s="1016"/>
      <c r="K349" s="1016"/>
      <c r="L349" s="1016"/>
      <c r="M349" s="1016"/>
      <c r="N349" s="1016"/>
      <c r="P349" s="499"/>
      <c r="S349" s="304">
        <f>IF(C349="",0,C349)</f>
        <v>0</v>
      </c>
      <c r="T349" s="304">
        <f>IF(E349&lt;&gt;"",E349,IF(S349&gt;0,S349,0))</f>
        <v>0</v>
      </c>
      <c r="U349" s="304">
        <f>IF(G349&lt;&gt;"",G349,IF(T349&gt;0,T349,0))</f>
        <v>0</v>
      </c>
      <c r="V349" s="304">
        <f>IF(I349&lt;&gt;"",I349,IF(U349&gt;0,U349,0))</f>
        <v>0</v>
      </c>
      <c r="W349" s="304">
        <f>IF(K349&lt;&gt;"",K349,IF(V349&gt;0,V349,0))</f>
        <v>0</v>
      </c>
      <c r="X349" s="304">
        <f>IF(M349&lt;&gt;"",M349,IF(W349&gt;0,W349,0))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109" customFormat="1" ht="15" customHeight="1" x14ac:dyDescent="0.3">
      <c r="B350" s="978" t="str">
        <f>IF(AD350=1,"ERROR: If radial or ulnar impairment is recorded, do not enter losses for 'both sides.'","")</f>
        <v/>
      </c>
      <c r="C350" s="979"/>
      <c r="D350" s="979"/>
      <c r="E350" s="979"/>
      <c r="F350" s="979"/>
      <c r="G350" s="979"/>
      <c r="H350" s="979"/>
      <c r="I350" s="979"/>
      <c r="J350" s="979"/>
      <c r="K350" s="979"/>
      <c r="L350" s="979"/>
      <c r="M350" s="979"/>
      <c r="N350" s="979"/>
      <c r="O350" s="980"/>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109" ht="12" customHeight="1" x14ac:dyDescent="0.3">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3">
      <c r="B352" s="50" t="s">
        <v>1232</v>
      </c>
      <c r="C352" s="925" t="s">
        <v>1370</v>
      </c>
      <c r="D352" s="925"/>
      <c r="E352" s="925"/>
      <c r="F352" s="925"/>
      <c r="G352" s="925"/>
      <c r="H352" s="925" t="s">
        <v>1795</v>
      </c>
      <c r="I352" s="925"/>
      <c r="J352" s="925"/>
      <c r="K352" s="18"/>
      <c r="L352" s="925" t="s">
        <v>1233</v>
      </c>
      <c r="M352" s="925"/>
      <c r="N352" s="925"/>
      <c r="O352" s="925"/>
      <c r="P352" s="770">
        <f>V354</f>
        <v>0</v>
      </c>
      <c r="R352" s="10"/>
      <c r="S352" s="569" t="s">
        <v>1596</v>
      </c>
      <c r="T352" s="569" t="s">
        <v>1304</v>
      </c>
      <c r="U352" s="569" t="s">
        <v>1305</v>
      </c>
      <c r="V352" s="568" t="s">
        <v>1306</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3">
      <c r="B353" s="146" t="s">
        <v>1245</v>
      </c>
      <c r="C353" s="933"/>
      <c r="D353" s="933"/>
      <c r="E353" s="933"/>
      <c r="F353" s="933"/>
      <c r="G353" s="933"/>
      <c r="H353" s="936">
        <f>IF(C353=$X$127,0.09,IF(C353=$Y$127,0.18,IF(C353=$Z$127,0.27,0)))</f>
        <v>0</v>
      </c>
      <c r="I353" s="936"/>
      <c r="J353" s="936"/>
      <c r="K353" s="146"/>
      <c r="L353" s="933"/>
      <c r="M353" s="933"/>
      <c r="N353" s="933"/>
      <c r="O353" s="21">
        <f>IF(H353&gt;=S353,H353-S353,0)</f>
        <v>0</v>
      </c>
      <c r="P353" s="770"/>
      <c r="R353" s="10"/>
      <c r="S353" s="147">
        <f>IF(L353=$Y$128,0.09,IF(L353=$Z$128,0.18,IF(L353=$AA$128,0.27,0)))</f>
        <v>0</v>
      </c>
      <c r="T353" s="147">
        <f>LARGE(O353:O355,1)</f>
        <v>0</v>
      </c>
      <c r="U353" s="553">
        <f>T353+T354*(1-T353)</f>
        <v>0</v>
      </c>
      <c r="V353" s="553">
        <f>ROUND(U353,2)</f>
        <v>0</v>
      </c>
      <c r="W353" s="957" t="s">
        <v>2196</v>
      </c>
      <c r="X353" s="957"/>
      <c r="Y353" s="957"/>
      <c r="Z353" s="957"/>
      <c r="AA353" s="596"/>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3">
      <c r="B354" s="50" t="s">
        <v>1246</v>
      </c>
      <c r="C354" s="933"/>
      <c r="D354" s="933"/>
      <c r="E354" s="933"/>
      <c r="F354" s="933"/>
      <c r="G354" s="933"/>
      <c r="H354" s="936">
        <f>IF(C354=$X$127,0.16,IF(C354=$Y$127,0.32,IF(C354=$Z$127,0.48,0)))</f>
        <v>0</v>
      </c>
      <c r="I354" s="936"/>
      <c r="J354" s="936"/>
      <c r="K354" s="146"/>
      <c r="L354" s="933"/>
      <c r="M354" s="933"/>
      <c r="N354" s="933"/>
      <c r="O354" s="21">
        <f>IF(H354&gt;=S354,H354-S354,0)</f>
        <v>0</v>
      </c>
      <c r="P354" s="77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3">
      <c r="B355" s="50" t="s">
        <v>1247</v>
      </c>
      <c r="C355" s="933"/>
      <c r="D355" s="933"/>
      <c r="E355" s="933"/>
      <c r="F355" s="933"/>
      <c r="G355" s="933"/>
      <c r="H355" s="936">
        <f>IF(C355=$X$127,0.2,IF(C355=$Y$127,0.4,IF(C355=$Z$127,0.6,0)))</f>
        <v>0</v>
      </c>
      <c r="I355" s="936"/>
      <c r="J355" s="936"/>
      <c r="K355" s="146"/>
      <c r="L355" s="933"/>
      <c r="M355" s="933"/>
      <c r="N355" s="933"/>
      <c r="O355" s="21">
        <f>IF(H355&gt;=S355,H355-S355,0)</f>
        <v>0</v>
      </c>
      <c r="P355" s="77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3">
      <c r="B356" s="961"/>
      <c r="C356" s="961"/>
      <c r="D356" s="961"/>
      <c r="E356" s="961"/>
      <c r="F356" s="961"/>
      <c r="G356" s="961"/>
      <c r="H356" s="961"/>
      <c r="I356" s="961"/>
      <c r="J356" s="961"/>
      <c r="K356" s="961"/>
      <c r="L356" s="961"/>
      <c r="M356" s="961"/>
      <c r="N356" s="961"/>
      <c r="O356" s="961"/>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3">
      <c r="A357" s="15"/>
      <c r="B357" s="776" t="s">
        <v>968</v>
      </c>
      <c r="C357" s="930"/>
      <c r="D357" s="931"/>
      <c r="E357" s="757" t="s">
        <v>573</v>
      </c>
      <c r="F357" s="758"/>
      <c r="G357" s="758"/>
      <c r="H357" s="758"/>
      <c r="I357" s="758"/>
      <c r="J357" s="758"/>
      <c r="K357" s="758"/>
      <c r="L357" s="758"/>
      <c r="M357" s="758"/>
      <c r="N357" s="758"/>
      <c r="O357" s="759"/>
      <c r="P357" s="248">
        <f>IF(T357=1,0.15,0)</f>
        <v>0</v>
      </c>
      <c r="R357" s="947"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3">
      <c r="B358" s="776"/>
      <c r="C358" s="930"/>
      <c r="D358" s="931"/>
      <c r="E358" s="757" t="s">
        <v>574</v>
      </c>
      <c r="F358" s="758"/>
      <c r="G358" s="758"/>
      <c r="H358" s="758"/>
      <c r="I358" s="758"/>
      <c r="J358" s="758"/>
      <c r="K358" s="758"/>
      <c r="L358" s="758"/>
      <c r="M358" s="758"/>
      <c r="N358" s="758"/>
      <c r="O358" s="759"/>
      <c r="P358" s="248">
        <f>IF(T358=1,0.25,0)</f>
        <v>0</v>
      </c>
      <c r="R358" s="947"/>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3">
      <c r="B359" s="776"/>
      <c r="C359" s="930"/>
      <c r="D359" s="931"/>
      <c r="E359" s="757" t="s">
        <v>788</v>
      </c>
      <c r="F359" s="758"/>
      <c r="G359" s="758"/>
      <c r="H359" s="758"/>
      <c r="I359" s="758"/>
      <c r="J359" s="758"/>
      <c r="K359" s="758"/>
      <c r="L359" s="758"/>
      <c r="M359" s="758"/>
      <c r="N359" s="758"/>
      <c r="O359" s="759"/>
      <c r="P359" s="248">
        <f>IF(T359=1,0.23,0)</f>
        <v>0</v>
      </c>
      <c r="R359" s="947"/>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3">
      <c r="B360" s="792"/>
      <c r="C360" s="792"/>
      <c r="D360" s="792"/>
      <c r="E360" s="792"/>
      <c r="F360" s="792"/>
      <c r="G360" s="792"/>
      <c r="H360" s="792"/>
      <c r="I360" s="792"/>
      <c r="J360" s="792"/>
      <c r="K360" s="792"/>
      <c r="L360" s="792"/>
      <c r="M360" s="792"/>
      <c r="N360" s="792"/>
      <c r="O360" s="792"/>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3">
      <c r="B361" s="932" t="s">
        <v>1248</v>
      </c>
      <c r="C361" s="932"/>
      <c r="D361" s="932"/>
      <c r="E361" s="932"/>
      <c r="F361" s="932"/>
      <c r="G361" s="932"/>
      <c r="H361" s="932"/>
      <c r="I361" s="932"/>
      <c r="J361" s="932"/>
      <c r="K361" s="932"/>
      <c r="L361" s="932"/>
      <c r="M361" s="932"/>
      <c r="N361" s="932"/>
      <c r="O361" s="317"/>
      <c r="P361" s="21">
        <f>SUMIF(T361:X361,O361,T362:X362)</f>
        <v>0</v>
      </c>
      <c r="R361" s="951" t="s">
        <v>2196</v>
      </c>
      <c r="S361" s="951"/>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3">
      <c r="B362" s="932" t="s">
        <v>1498</v>
      </c>
      <c r="C362" s="932"/>
      <c r="D362" s="932"/>
      <c r="E362" s="932"/>
      <c r="F362" s="932"/>
      <c r="G362" s="932"/>
      <c r="H362" s="932"/>
      <c r="I362" s="932"/>
      <c r="J362" s="932"/>
      <c r="K362" s="932"/>
      <c r="L362" s="932"/>
      <c r="M362" s="932"/>
      <c r="N362" s="932"/>
      <c r="O362" s="317"/>
      <c r="P362" s="21">
        <f>SUMIF(Z361:AD361,O362,Z362:AD362)</f>
        <v>0</v>
      </c>
      <c r="R362" s="951"/>
      <c r="S362" s="951"/>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3">
      <c r="B363" s="792"/>
      <c r="C363" s="792"/>
      <c r="D363" s="792"/>
      <c r="E363" s="792"/>
      <c r="F363" s="792"/>
      <c r="G363" s="792"/>
      <c r="H363" s="792"/>
      <c r="I363" s="792"/>
      <c r="J363" s="792"/>
      <c r="K363" s="792"/>
      <c r="L363" s="792"/>
      <c r="M363" s="792"/>
      <c r="N363" s="792"/>
      <c r="O363" s="792"/>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3">
      <c r="B364" s="879" t="s">
        <v>1390</v>
      </c>
      <c r="C364" s="880"/>
      <c r="D364" s="880"/>
      <c r="E364" s="880"/>
      <c r="F364" s="881"/>
      <c r="G364" s="922" t="s">
        <v>1524</v>
      </c>
      <c r="H364" s="941"/>
      <c r="I364" s="941"/>
      <c r="J364" s="942"/>
      <c r="K364" s="1003"/>
      <c r="L364" s="1004"/>
      <c r="M364" s="1004"/>
      <c r="N364" s="1004"/>
      <c r="O364" s="1005"/>
      <c r="P364" s="770">
        <f>U378</f>
        <v>0</v>
      </c>
      <c r="R364" s="146" t="s">
        <v>1864</v>
      </c>
      <c r="S364" s="50" t="s">
        <v>1304</v>
      </c>
      <c r="T364" s="50" t="s">
        <v>1305</v>
      </c>
      <c r="U364" s="50" t="s">
        <v>1306</v>
      </c>
      <c r="V364" s="940" t="s">
        <v>801</v>
      </c>
      <c r="W364" s="941"/>
      <c r="X364" s="942"/>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3">
      <c r="B365" s="806" t="s">
        <v>628</v>
      </c>
      <c r="C365" s="806"/>
      <c r="D365" s="806"/>
      <c r="E365" s="770">
        <f>P309</f>
        <v>0</v>
      </c>
      <c r="F365" s="770"/>
      <c r="G365" s="925" t="s">
        <v>1941</v>
      </c>
      <c r="H365" s="925"/>
      <c r="I365" s="949"/>
      <c r="J365" s="949"/>
      <c r="K365" s="1006"/>
      <c r="L365" s="1007"/>
      <c r="M365" s="1007"/>
      <c r="N365" s="1007"/>
      <c r="O365" s="1008"/>
      <c r="P365" s="77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3">
      <c r="B366" s="806" t="s">
        <v>382</v>
      </c>
      <c r="C366" s="806"/>
      <c r="D366" s="806"/>
      <c r="E366" s="770">
        <f>P312</f>
        <v>0</v>
      </c>
      <c r="F366" s="770"/>
      <c r="G366" s="925" t="s">
        <v>1941</v>
      </c>
      <c r="H366" s="925"/>
      <c r="I366" s="949"/>
      <c r="J366" s="949"/>
      <c r="K366" s="1006"/>
      <c r="L366" s="1007"/>
      <c r="M366" s="1007"/>
      <c r="N366" s="1007"/>
      <c r="O366" s="1008"/>
      <c r="P366" s="770"/>
      <c r="R366" s="557">
        <f>E366</f>
        <v>0</v>
      </c>
      <c r="S366" s="147">
        <f>LARGE($R$365:$R$379,2)</f>
        <v>0</v>
      </c>
      <c r="T366" s="553">
        <f>U365+S367*(1-U365)</f>
        <v>0</v>
      </c>
      <c r="U366" s="557">
        <f t="shared" si="48"/>
        <v>0</v>
      </c>
      <c r="V366" s="50">
        <f>IF(E366&gt;0,2,0)</f>
        <v>0</v>
      </c>
      <c r="W366" s="50">
        <f>COUNTIF(V365:V379,2)</f>
        <v>0</v>
      </c>
      <c r="X366" s="10"/>
      <c r="Y366" s="10" t="s">
        <v>511</v>
      </c>
      <c r="AA366" s="792"/>
      <c r="AB366" s="792"/>
      <c r="AC366" s="792"/>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3">
      <c r="B367" s="757" t="s">
        <v>1958</v>
      </c>
      <c r="C367" s="758"/>
      <c r="D367" s="759"/>
      <c r="E367" s="770">
        <f>IF(E607&gt;0,0,P316)</f>
        <v>0</v>
      </c>
      <c r="F367" s="770"/>
      <c r="G367" s="1095" t="s">
        <v>2256</v>
      </c>
      <c r="H367" s="1095"/>
      <c r="I367" s="949"/>
      <c r="J367" s="949"/>
      <c r="K367" s="1006"/>
      <c r="L367" s="1007"/>
      <c r="M367" s="1007"/>
      <c r="N367" s="1007"/>
      <c r="O367" s="1008"/>
      <c r="P367" s="77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2"/>
      <c r="AB367" s="792"/>
      <c r="AC367" s="792"/>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3">
      <c r="B368" s="806" t="s">
        <v>1416</v>
      </c>
      <c r="C368" s="806"/>
      <c r="D368" s="806"/>
      <c r="E368" s="770">
        <f>P333</f>
        <v>0</v>
      </c>
      <c r="F368" s="770"/>
      <c r="G368" s="935"/>
      <c r="H368" s="935"/>
      <c r="I368" s="936">
        <f t="shared" ref="I368:I374" si="51">IF(AND(Y368&lt;0.01,Y368&gt;0),0.01,ROUND(Y368,2))</f>
        <v>0</v>
      </c>
      <c r="J368" s="936"/>
      <c r="K368" s="1006"/>
      <c r="L368" s="1007"/>
      <c r="M368" s="1007"/>
      <c r="N368" s="1007"/>
      <c r="O368" s="1008"/>
      <c r="P368" s="770"/>
      <c r="R368" s="557">
        <f t="shared" si="49"/>
        <v>0</v>
      </c>
      <c r="S368" s="147">
        <f>LARGE($R$365:$R$379,4)</f>
        <v>0</v>
      </c>
      <c r="T368" s="553">
        <f t="shared" ref="T368:T378" si="52">U367+S369*(1-U367)</f>
        <v>0</v>
      </c>
      <c r="U368" s="557">
        <f t="shared" si="48"/>
        <v>0</v>
      </c>
      <c r="V368" s="50">
        <f t="shared" si="50"/>
        <v>0</v>
      </c>
      <c r="W368" s="10"/>
      <c r="X368" s="10"/>
      <c r="Y368" s="294">
        <f>E368*G368</f>
        <v>0</v>
      </c>
      <c r="Z368" s="604"/>
      <c r="AA368" s="792"/>
      <c r="AB368" s="792"/>
      <c r="AC368" s="792"/>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3">
      <c r="B369" s="757" t="s">
        <v>1417</v>
      </c>
      <c r="C369" s="758"/>
      <c r="D369" s="759"/>
      <c r="E369" s="770">
        <f>P334</f>
        <v>0</v>
      </c>
      <c r="F369" s="770"/>
      <c r="G369" s="935"/>
      <c r="H369" s="935"/>
      <c r="I369" s="936">
        <f t="shared" si="51"/>
        <v>0</v>
      </c>
      <c r="J369" s="936"/>
      <c r="K369" s="1006"/>
      <c r="L369" s="1007"/>
      <c r="M369" s="1007"/>
      <c r="N369" s="1007"/>
      <c r="O369" s="1008"/>
      <c r="P369" s="770"/>
      <c r="R369" s="557">
        <f t="shared" si="49"/>
        <v>0</v>
      </c>
      <c r="S369" s="147">
        <f>LARGE($R$365:$R$379,5)</f>
        <v>0</v>
      </c>
      <c r="T369" s="553">
        <f t="shared" si="52"/>
        <v>0</v>
      </c>
      <c r="U369" s="557">
        <f t="shared" si="48"/>
        <v>0</v>
      </c>
      <c r="V369" s="50">
        <f t="shared" si="50"/>
        <v>0</v>
      </c>
      <c r="W369" s="10"/>
      <c r="X369" s="10"/>
      <c r="Y369" s="294">
        <f t="shared" ref="Y369:Y374" si="53">E369*G369</f>
        <v>0</v>
      </c>
      <c r="Z369" s="604"/>
      <c r="AA369" s="792"/>
      <c r="AB369" s="792"/>
      <c r="AC369" s="792"/>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3">
      <c r="B370" s="757" t="s">
        <v>1418</v>
      </c>
      <c r="C370" s="758"/>
      <c r="D370" s="759"/>
      <c r="E370" s="770">
        <f>P335</f>
        <v>0</v>
      </c>
      <c r="F370" s="770"/>
      <c r="G370" s="935"/>
      <c r="H370" s="935"/>
      <c r="I370" s="936">
        <f t="shared" si="51"/>
        <v>0</v>
      </c>
      <c r="J370" s="936"/>
      <c r="K370" s="1006"/>
      <c r="L370" s="1007"/>
      <c r="M370" s="1007"/>
      <c r="N370" s="1007"/>
      <c r="O370" s="1008"/>
      <c r="P370" s="77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3">
      <c r="B371" s="757" t="s">
        <v>1419</v>
      </c>
      <c r="C371" s="758"/>
      <c r="D371" s="759"/>
      <c r="E371" s="770">
        <f>P336</f>
        <v>0</v>
      </c>
      <c r="F371" s="770"/>
      <c r="G371" s="935"/>
      <c r="H371" s="935"/>
      <c r="I371" s="936">
        <f t="shared" si="51"/>
        <v>0</v>
      </c>
      <c r="J371" s="936"/>
      <c r="K371" s="1006"/>
      <c r="L371" s="1007"/>
      <c r="M371" s="1007"/>
      <c r="N371" s="1007"/>
      <c r="O371" s="1008"/>
      <c r="P371" s="77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3">
      <c r="B372" s="806" t="s">
        <v>1985</v>
      </c>
      <c r="C372" s="806"/>
      <c r="D372" s="806"/>
      <c r="E372" s="770">
        <f>P345</f>
        <v>0</v>
      </c>
      <c r="F372" s="770"/>
      <c r="G372" s="935"/>
      <c r="H372" s="935"/>
      <c r="I372" s="936">
        <f t="shared" si="51"/>
        <v>0</v>
      </c>
      <c r="J372" s="936"/>
      <c r="K372" s="1006"/>
      <c r="L372" s="1007"/>
      <c r="M372" s="1007"/>
      <c r="N372" s="1007"/>
      <c r="O372" s="1008"/>
      <c r="P372" s="77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3">
      <c r="B373" s="806" t="s">
        <v>1226</v>
      </c>
      <c r="C373" s="806"/>
      <c r="D373" s="806"/>
      <c r="E373" s="770">
        <f>P350</f>
        <v>0</v>
      </c>
      <c r="F373" s="770"/>
      <c r="G373" s="935"/>
      <c r="H373" s="935"/>
      <c r="I373" s="936">
        <f t="shared" si="51"/>
        <v>0</v>
      </c>
      <c r="J373" s="936"/>
      <c r="K373" s="633"/>
      <c r="L373" s="634"/>
      <c r="M373" s="634"/>
      <c r="N373" s="634"/>
      <c r="O373" s="635"/>
      <c r="P373" s="77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3">
      <c r="B374" s="806" t="s">
        <v>1232</v>
      </c>
      <c r="C374" s="806"/>
      <c r="D374" s="806"/>
      <c r="E374" s="770">
        <f>P352</f>
        <v>0</v>
      </c>
      <c r="F374" s="770"/>
      <c r="G374" s="935"/>
      <c r="H374" s="935"/>
      <c r="I374" s="936">
        <f t="shared" si="51"/>
        <v>0</v>
      </c>
      <c r="J374" s="936"/>
      <c r="K374" s="633"/>
      <c r="L374" s="634"/>
      <c r="M374" s="634"/>
      <c r="N374" s="634"/>
      <c r="O374" s="635"/>
      <c r="P374" s="77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3">
      <c r="B375" s="806" t="s">
        <v>383</v>
      </c>
      <c r="C375" s="806"/>
      <c r="D375" s="806"/>
      <c r="E375" s="770">
        <f>P357</f>
        <v>0</v>
      </c>
      <c r="F375" s="770"/>
      <c r="G375" s="925" t="s">
        <v>1941</v>
      </c>
      <c r="H375" s="925"/>
      <c r="I375" s="949"/>
      <c r="J375" s="949"/>
      <c r="K375" s="972" t="str">
        <f>IF(AND(P316&gt;0,E607&gt;0),"A value has been granted for motor loss. Additional impairment value is not allowed for reduced ROM in the same extremity.","")</f>
        <v/>
      </c>
      <c r="L375" s="973"/>
      <c r="M375" s="973"/>
      <c r="N375" s="973"/>
      <c r="O375" s="974"/>
      <c r="P375" s="77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3">
      <c r="B376" s="806" t="s">
        <v>384</v>
      </c>
      <c r="C376" s="806"/>
      <c r="D376" s="806"/>
      <c r="E376" s="770">
        <f>P358</f>
        <v>0</v>
      </c>
      <c r="F376" s="770"/>
      <c r="G376" s="925" t="s">
        <v>1941</v>
      </c>
      <c r="H376" s="925"/>
      <c r="I376" s="949"/>
      <c r="J376" s="949"/>
      <c r="K376" s="972"/>
      <c r="L376" s="973"/>
      <c r="M376" s="973"/>
      <c r="N376" s="973"/>
      <c r="O376" s="974"/>
      <c r="P376" s="77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3">
      <c r="B377" s="806" t="s">
        <v>807</v>
      </c>
      <c r="C377" s="806"/>
      <c r="D377" s="806"/>
      <c r="E377" s="770">
        <f>P359</f>
        <v>0</v>
      </c>
      <c r="F377" s="770"/>
      <c r="G377" s="925" t="s">
        <v>1941</v>
      </c>
      <c r="H377" s="925"/>
      <c r="I377" s="949"/>
      <c r="J377" s="949"/>
      <c r="K377" s="972"/>
      <c r="L377" s="973"/>
      <c r="M377" s="973"/>
      <c r="N377" s="973"/>
      <c r="O377" s="974"/>
      <c r="P377" s="77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3">
      <c r="B378" s="806" t="s">
        <v>1446</v>
      </c>
      <c r="C378" s="806"/>
      <c r="D378" s="806"/>
      <c r="E378" s="770">
        <f>P361</f>
        <v>0</v>
      </c>
      <c r="F378" s="770"/>
      <c r="G378" s="935"/>
      <c r="H378" s="935"/>
      <c r="I378" s="936">
        <f>IF(AND(Y378&lt;0.01,Y378&gt;0),0.01,ROUND(Y378,2))</f>
        <v>0</v>
      </c>
      <c r="J378" s="936"/>
      <c r="K378" s="972"/>
      <c r="L378" s="973"/>
      <c r="M378" s="973"/>
      <c r="N378" s="973"/>
      <c r="O378" s="974"/>
      <c r="P378" s="77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3">
      <c r="B379" s="804" t="s">
        <v>1253</v>
      </c>
      <c r="C379" s="804"/>
      <c r="D379" s="804"/>
      <c r="E379" s="1015">
        <f>P362</f>
        <v>0</v>
      </c>
      <c r="F379" s="1015"/>
      <c r="G379" s="1009"/>
      <c r="H379" s="1009"/>
      <c r="I379" s="992">
        <f>IF(AND(Y379&lt;0.01,Y379&gt;0),0.01,ROUND(Y379,2))</f>
        <v>0</v>
      </c>
      <c r="J379" s="992"/>
      <c r="K379" s="975"/>
      <c r="L379" s="976"/>
      <c r="M379" s="976"/>
      <c r="N379" s="976"/>
      <c r="O379" s="977"/>
      <c r="P379" s="77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3">
      <c r="B380" s="958" t="s">
        <v>1391</v>
      </c>
      <c r="C380" s="958"/>
      <c r="D380" s="958"/>
      <c r="E380" s="958"/>
      <c r="F380" s="958"/>
      <c r="G380" s="958"/>
      <c r="H380" s="958"/>
      <c r="I380" s="958"/>
      <c r="J380" s="958"/>
      <c r="K380" s="958"/>
      <c r="L380" s="958"/>
      <c r="M380" s="958"/>
      <c r="N380" s="958"/>
      <c r="O380" s="958"/>
      <c r="P380" s="770"/>
      <c r="R380" s="14"/>
      <c r="S380" s="142"/>
      <c r="T380" s="129"/>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3">
      <c r="B381" s="792"/>
      <c r="C381" s="792"/>
      <c r="D381" s="792"/>
      <c r="E381" s="792"/>
      <c r="F381" s="792"/>
      <c r="G381" s="792"/>
      <c r="H381" s="792"/>
      <c r="I381" s="792"/>
      <c r="J381" s="792"/>
      <c r="K381" s="792"/>
      <c r="L381" s="792"/>
      <c r="M381" s="792"/>
      <c r="N381" s="792"/>
      <c r="O381" s="792"/>
      <c r="P381" s="792"/>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3">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3">
      <c r="B383" s="910" t="s">
        <v>1392</v>
      </c>
      <c r="C383" s="1119"/>
      <c r="D383" s="1119"/>
      <c r="E383" s="1119"/>
      <c r="F383" s="1119"/>
      <c r="G383" s="1119"/>
      <c r="H383" s="1119"/>
      <c r="I383" s="1119"/>
      <c r="J383" s="1119"/>
      <c r="K383" s="1119"/>
      <c r="L383" s="1119"/>
      <c r="M383" s="1119"/>
      <c r="N383" s="1119"/>
      <c r="O383" s="1119"/>
      <c r="P383" s="112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3">
      <c r="B384" s="806" t="s">
        <v>145</v>
      </c>
      <c r="C384" s="806"/>
      <c r="D384" s="806"/>
      <c r="E384" s="806"/>
      <c r="F384" s="806"/>
      <c r="G384" s="806"/>
      <c r="H384" s="806"/>
      <c r="I384" s="806"/>
      <c r="J384" s="806"/>
      <c r="K384" s="806"/>
      <c r="L384" s="806"/>
      <c r="M384" s="806"/>
      <c r="N384" s="806"/>
      <c r="O384" s="806"/>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3">
      <c r="A385" s="15"/>
      <c r="B385" s="1023"/>
      <c r="C385" s="1023"/>
      <c r="D385" s="1023"/>
      <c r="E385" s="1023"/>
      <c r="F385" s="1023"/>
      <c r="G385" s="1023"/>
      <c r="H385" s="1023"/>
      <c r="I385" s="1023"/>
      <c r="J385" s="1023"/>
      <c r="K385" s="1023"/>
      <c r="L385" s="1023"/>
      <c r="M385" s="1023"/>
      <c r="N385" s="1023"/>
      <c r="O385" s="1023"/>
      <c r="P385" s="21">
        <f>IF(R385&gt;1,1,0)</f>
        <v>0</v>
      </c>
      <c r="R385" s="577">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3">
      <c r="A386" s="15"/>
      <c r="B386" s="806" t="s">
        <v>1622</v>
      </c>
      <c r="C386" s="806"/>
      <c r="D386" s="806"/>
      <c r="E386" s="806"/>
      <c r="F386" s="1023"/>
      <c r="G386" s="1023"/>
      <c r="H386" s="806" t="s">
        <v>715</v>
      </c>
      <c r="I386" s="806"/>
      <c r="J386" s="806"/>
      <c r="K386" s="806"/>
      <c r="L386" s="806"/>
      <c r="M386" s="806"/>
      <c r="N386" s="806"/>
      <c r="O386" s="806"/>
      <c r="P386" s="21">
        <f>IF($P$385&gt;0,0,IF(S386=1,0.1,0))</f>
        <v>0</v>
      </c>
      <c r="R386" s="555" t="b">
        <v>0</v>
      </c>
      <c r="S386" s="578">
        <f>IF(R386=TRUE,1,0)</f>
        <v>0</v>
      </c>
      <c r="T386" s="10"/>
      <c r="U386" s="10"/>
      <c r="V386" s="10"/>
      <c r="W386" s="10">
        <v>1E-4</v>
      </c>
      <c r="X386" s="10"/>
      <c r="Y386" s="135"/>
      <c r="Z386" s="739"/>
      <c r="AA386" s="739"/>
      <c r="AB386" s="739"/>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3">
      <c r="B387" s="1118" t="str">
        <f>IF(AND(P385=1,T389&gt;0),"ERROR: Hand loss has occurred proximal to the metacarpals. Uncheck boxes at right.","")</f>
        <v/>
      </c>
      <c r="C387" s="1118"/>
      <c r="D387" s="1118"/>
      <c r="E387" s="1118"/>
      <c r="F387" s="1023"/>
      <c r="G387" s="1023"/>
      <c r="H387" s="806" t="s">
        <v>1258</v>
      </c>
      <c r="I387" s="806"/>
      <c r="J387" s="806"/>
      <c r="K387" s="806"/>
      <c r="L387" s="806"/>
      <c r="M387" s="806"/>
      <c r="N387" s="806"/>
      <c r="O387" s="806"/>
      <c r="P387" s="21">
        <f>IF($P$385&gt;0,0,IF(S387=1,0.1,0))</f>
        <v>0</v>
      </c>
      <c r="R387" s="555" t="b">
        <v>0</v>
      </c>
      <c r="S387" s="578">
        <f>IF(R387=TRUE,1,0)</f>
        <v>0</v>
      </c>
      <c r="T387" s="574"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3">
      <c r="B388" s="1118"/>
      <c r="C388" s="1118"/>
      <c r="D388" s="1118"/>
      <c r="E388" s="1118"/>
      <c r="F388" s="1023"/>
      <c r="G388" s="1023"/>
      <c r="H388" s="806" t="s">
        <v>1260</v>
      </c>
      <c r="I388" s="806"/>
      <c r="J388" s="806"/>
      <c r="K388" s="806"/>
      <c r="L388" s="806"/>
      <c r="M388" s="806"/>
      <c r="N388" s="806"/>
      <c r="O388" s="806"/>
      <c r="P388" s="21">
        <f>IF($P$385&gt;0,0,IF(S388=1,0.1,0))</f>
        <v>0</v>
      </c>
      <c r="R388" s="555" t="b">
        <v>0</v>
      </c>
      <c r="S388" s="578">
        <f>IF(R388=TRUE,1,0)</f>
        <v>0</v>
      </c>
      <c r="T388" s="574"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3">
      <c r="B389" s="1118"/>
      <c r="C389" s="1118"/>
      <c r="D389" s="1118"/>
      <c r="E389" s="1118"/>
      <c r="F389" s="1023"/>
      <c r="G389" s="1023"/>
      <c r="H389" s="806" t="s">
        <v>1262</v>
      </c>
      <c r="I389" s="806"/>
      <c r="J389" s="806"/>
      <c r="K389" s="806"/>
      <c r="L389" s="806"/>
      <c r="M389" s="806"/>
      <c r="N389" s="806"/>
      <c r="O389" s="806"/>
      <c r="P389" s="21">
        <f>IF($P$385&gt;0,0,IF(S389=1,0.1,0))</f>
        <v>0</v>
      </c>
      <c r="R389" s="555" t="b">
        <v>0</v>
      </c>
      <c r="S389" s="578">
        <f>IF(R389=TRUE,1,0)</f>
        <v>0</v>
      </c>
      <c r="T389" s="574">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3">
      <c r="B390" s="1118"/>
      <c r="C390" s="1118"/>
      <c r="D390" s="1118"/>
      <c r="E390" s="1118"/>
      <c r="F390" s="1023"/>
      <c r="G390" s="1023"/>
      <c r="H390" s="806" t="s">
        <v>894</v>
      </c>
      <c r="I390" s="806"/>
      <c r="J390" s="806"/>
      <c r="K390" s="806"/>
      <c r="L390" s="806"/>
      <c r="M390" s="806"/>
      <c r="N390" s="806"/>
      <c r="O390" s="806"/>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3">
      <c r="B391" s="792"/>
      <c r="C391" s="792"/>
      <c r="D391" s="792"/>
      <c r="E391" s="792"/>
      <c r="F391" s="792"/>
      <c r="G391" s="792"/>
      <c r="H391" s="792"/>
      <c r="I391" s="792"/>
      <c r="J391" s="792"/>
      <c r="K391" s="792"/>
      <c r="L391" s="792"/>
      <c r="M391" s="792"/>
      <c r="N391" s="792"/>
      <c r="O391" s="792"/>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3">
      <c r="B392" s="925" t="s">
        <v>1594</v>
      </c>
      <c r="C392" s="925"/>
      <c r="D392" s="925"/>
      <c r="E392" s="925"/>
      <c r="F392" s="925"/>
      <c r="G392" s="925"/>
      <c r="H392" s="925"/>
      <c r="I392" s="925"/>
      <c r="J392" s="925"/>
      <c r="K392" s="925"/>
      <c r="L392" s="925"/>
      <c r="M392" s="925"/>
      <c r="N392" s="925"/>
      <c r="O392" s="925"/>
      <c r="P392" s="845"/>
      <c r="R392" s="10"/>
      <c r="S392" s="10"/>
      <c r="T392" s="922" t="s">
        <v>2188</v>
      </c>
      <c r="U392" s="923"/>
      <c r="V392" s="10"/>
      <c r="W392" s="10"/>
      <c r="X392" s="10"/>
      <c r="Y392" s="10"/>
      <c r="Z392" s="10"/>
      <c r="AA392" s="10"/>
      <c r="AB392" s="10"/>
      <c r="AC392" s="10"/>
      <c r="AD392" s="10"/>
      <c r="AE392" s="10"/>
      <c r="AF392" s="10"/>
      <c r="AG392" s="10"/>
      <c r="AH392" s="10"/>
      <c r="AI392" s="10"/>
      <c r="AJ392" s="776" t="s">
        <v>692</v>
      </c>
      <c r="AK392" s="776" t="s">
        <v>693</v>
      </c>
      <c r="AL392" s="776" t="s">
        <v>895</v>
      </c>
      <c r="AM392" s="776" t="s">
        <v>896</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3">
      <c r="B393" s="18" t="s">
        <v>729</v>
      </c>
      <c r="C393" s="925" t="s">
        <v>1595</v>
      </c>
      <c r="D393" s="925"/>
      <c r="E393" s="925"/>
      <c r="F393" s="925"/>
      <c r="G393" s="927" t="s">
        <v>898</v>
      </c>
      <c r="H393" s="927"/>
      <c r="I393" s="927"/>
      <c r="J393" s="927"/>
      <c r="K393" s="925"/>
      <c r="L393" s="925"/>
      <c r="M393" s="925"/>
      <c r="N393" s="925"/>
      <c r="O393" s="925"/>
      <c r="P393" s="846"/>
      <c r="R393" s="10"/>
      <c r="S393" s="50" t="s">
        <v>1654</v>
      </c>
      <c r="T393" s="128" t="s">
        <v>1595</v>
      </c>
      <c r="U393" s="128" t="s">
        <v>1596</v>
      </c>
      <c r="V393" s="940" t="s">
        <v>1083</v>
      </c>
      <c r="W393" s="941"/>
      <c r="X393" s="941"/>
      <c r="Y393" s="942"/>
      <c r="Z393" s="10"/>
      <c r="AA393" s="10"/>
      <c r="AB393" s="10"/>
      <c r="AC393" s="10"/>
      <c r="AD393" s="10"/>
      <c r="AE393" s="10"/>
      <c r="AF393" s="10"/>
      <c r="AG393" s="10"/>
      <c r="AH393" s="10"/>
      <c r="AI393" s="10"/>
      <c r="AJ393" s="776"/>
      <c r="AK393" s="776"/>
      <c r="AL393" s="776"/>
      <c r="AM393" s="776"/>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3">
      <c r="B394" s="146" t="s">
        <v>899</v>
      </c>
      <c r="C394" s="745"/>
      <c r="D394" s="835"/>
      <c r="E394" s="948">
        <f>UETable!AV64</f>
        <v>0</v>
      </c>
      <c r="F394" s="948"/>
      <c r="G394" s="745"/>
      <c r="H394" s="835"/>
      <c r="I394" s="929">
        <f>IF(C394="",0,IF(OR(C394&lt;=0,G394&lt;=0),E394,IF(G394&lt;C394,0,UETable!BA64)))</f>
        <v>0</v>
      </c>
      <c r="J394" s="929"/>
      <c r="K394" s="946" t="str">
        <f>IF(OR(C394="NA",G394="NA"),"",IF(AND(C394&lt;&gt;"",G394=""),"Enter contralateral or NA.",IF(AND(C394="",G394&lt;&gt;""),"Need data","")))</f>
        <v/>
      </c>
      <c r="L394" s="946"/>
      <c r="M394" s="946"/>
      <c r="N394" s="946"/>
      <c r="O394" s="946"/>
      <c r="P394" s="846"/>
      <c r="R394" s="132"/>
      <c r="S394" s="50">
        <v>15</v>
      </c>
      <c r="T394" s="50" t="str">
        <f>IF(OR(C394="",C394="NA"),"",IF(C394&gt;S394,S394,IF(C394&lt;0,0,C394)))</f>
        <v/>
      </c>
      <c r="U394" s="50" t="str">
        <f>IF(OR(G394="",G394="NA"),"",IF(G394&gt;S394,S394,IF(G394&lt;0,0,G394)))</f>
        <v/>
      </c>
      <c r="V394" s="562" t="str">
        <f>IF(Y394="","",ROUND(Y394,0))</f>
        <v/>
      </c>
      <c r="W394" s="797"/>
      <c r="X394" s="799"/>
      <c r="Y394" s="563" t="str">
        <f>IF(T394="","",IF(OR(U394="",U394=0,U394&lt;T394),T394,(T394*15)/U394))</f>
        <v/>
      </c>
      <c r="Z394" s="10"/>
      <c r="AA394" s="10"/>
      <c r="AB394" s="10"/>
      <c r="AC394" s="10"/>
      <c r="AD394" s="10"/>
      <c r="AE394" s="10"/>
      <c r="AF394" s="10"/>
      <c r="AG394" s="10"/>
      <c r="AH394" s="10"/>
      <c r="AI394" s="10"/>
      <c r="AJ394" s="776"/>
      <c r="AK394" s="776"/>
      <c r="AL394" s="776"/>
      <c r="AM394" s="776"/>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3">
      <c r="B395" s="146" t="s">
        <v>900</v>
      </c>
      <c r="C395" s="745"/>
      <c r="D395" s="835"/>
      <c r="E395" s="948">
        <f>UETable!AV65</f>
        <v>0</v>
      </c>
      <c r="F395" s="948"/>
      <c r="G395" s="745"/>
      <c r="H395" s="835"/>
      <c r="I395" s="929">
        <f>IF(C395="",0,IF(OR(C395&lt;=0,G395&lt;=0),E395,IF(G395&lt;C395,0,UETable!BA65)))</f>
        <v>0</v>
      </c>
      <c r="J395" s="929"/>
      <c r="K395" s="946" t="str">
        <f>IF(OR(C395="NA",G395="NA"),"",IF(AND(C395&lt;&gt;"",G395=""),"Enter contralateral or NA.",IF(AND(C395="",G395&lt;&gt;""),"Need data","")))</f>
        <v/>
      </c>
      <c r="L395" s="946"/>
      <c r="M395" s="946"/>
      <c r="N395" s="946"/>
      <c r="O395" s="946"/>
      <c r="P395" s="846"/>
      <c r="R395" s="95"/>
      <c r="S395" s="50">
        <v>30</v>
      </c>
      <c r="T395" s="531" t="str">
        <f>IF(OR(C395="",C395="NA"),"",IF(C395&gt;S395,S395,IF(C395&lt;0,0,C395)))</f>
        <v/>
      </c>
      <c r="U395" s="50" t="str">
        <f>IF(OR(G395="",G395="NA"),"",IF(G395&gt;S395,S395,IF(G395&lt;0,0,G395)))</f>
        <v/>
      </c>
      <c r="V395" s="579" t="str">
        <f>IF(Y395="","",ROUND(Y395,0))</f>
        <v/>
      </c>
      <c r="W395" s="576"/>
      <c r="X395" s="190"/>
      <c r="Y395" s="580" t="str">
        <f>IF(T395="","",IF(OR(U395="",U395=0,U395&lt;T395),T395,(T395*30)/U395))</f>
        <v/>
      </c>
      <c r="Z395" s="10"/>
      <c r="AA395" s="10"/>
      <c r="AB395" s="61"/>
      <c r="AC395" s="193">
        <f>MAX(E396,E397)</f>
        <v>0</v>
      </c>
      <c r="AD395" s="806" t="s">
        <v>1942</v>
      </c>
      <c r="AE395" s="806"/>
      <c r="AF395" s="806"/>
      <c r="AG395" s="806"/>
      <c r="AH395" s="10"/>
      <c r="AI395" s="10"/>
      <c r="AJ395" s="776"/>
      <c r="AK395" s="776"/>
      <c r="AL395" s="776"/>
      <c r="AM395" s="776"/>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3">
      <c r="B396" s="146" t="s">
        <v>901</v>
      </c>
      <c r="C396" s="745"/>
      <c r="D396" s="835"/>
      <c r="E396" s="948">
        <f>IF(AND($AJ$396=1,$AK$396=1),"ERROR",UETable!AV66)</f>
        <v>0</v>
      </c>
      <c r="F396" s="948"/>
      <c r="G396" s="1134" t="str">
        <f>IF(AND($AK$396=1,$AJ$396=1),"Cannot rate ROM and ankylosis.","")</f>
        <v/>
      </c>
      <c r="H396" s="1134"/>
      <c r="I396" s="1134"/>
      <c r="J396" s="1134"/>
      <c r="K396" s="1134"/>
      <c r="L396" s="1134"/>
      <c r="M396" s="1134"/>
      <c r="N396" s="1134"/>
      <c r="O396" s="1134"/>
      <c r="P396" s="846"/>
      <c r="R396" s="10"/>
      <c r="S396" s="50">
        <v>15</v>
      </c>
      <c r="T396" s="531" t="str">
        <f>IF(OR(C396="",C396="NA"),"",IF(C396&gt;S396,S396,IF(C396&lt;0,0,C396)))</f>
        <v/>
      </c>
      <c r="U396" s="10"/>
      <c r="V396" s="940" t="s">
        <v>2189</v>
      </c>
      <c r="W396" s="941"/>
      <c r="X396" s="941"/>
      <c r="Y396" s="942"/>
      <c r="AB396" s="10"/>
      <c r="AC396" s="194">
        <f>IF(AND(AJ396=1,AK396=1),"ERROR",I394+I395+AC395)</f>
        <v>0</v>
      </c>
      <c r="AD396" s="806" t="s">
        <v>902</v>
      </c>
      <c r="AE396" s="806"/>
      <c r="AF396" s="806"/>
      <c r="AG396" s="806"/>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3">
      <c r="B397" s="146" t="s">
        <v>903</v>
      </c>
      <c r="C397" s="745"/>
      <c r="D397" s="835"/>
      <c r="E397" s="948">
        <f>IF(AND($AJ$396=1,$AK$396=1),"ERROR",UETable!AV67)</f>
        <v>0</v>
      </c>
      <c r="F397" s="948"/>
      <c r="G397" s="1134" t="str">
        <f>IF(AND($AK$396=1,$AJ$396=1),"Cannot rate ROM and ankylosis.",IF(AND(E396&gt;0,E397&gt;0),"Multiple ankylosis values; use higher value only.",""))</f>
        <v/>
      </c>
      <c r="H397" s="1134"/>
      <c r="I397" s="1134"/>
      <c r="J397" s="1134"/>
      <c r="K397" s="1134"/>
      <c r="L397" s="1134"/>
      <c r="M397" s="1134"/>
      <c r="N397" s="1134"/>
      <c r="O397" s="1134"/>
      <c r="P397" s="847"/>
      <c r="R397" s="10"/>
      <c r="S397" s="50">
        <v>30</v>
      </c>
      <c r="T397" s="531"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3">
      <c r="B398" s="940"/>
      <c r="C398" s="941"/>
      <c r="D398" s="941"/>
      <c r="E398" s="941"/>
      <c r="F398" s="941"/>
      <c r="G398" s="1099" t="s">
        <v>730</v>
      </c>
      <c r="H398" s="1100"/>
      <c r="I398" s="1100"/>
      <c r="J398" s="1100"/>
      <c r="K398" s="1100"/>
      <c r="L398" s="1100"/>
      <c r="M398" s="1100"/>
      <c r="N398" s="1100"/>
      <c r="O398" s="1101"/>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3">
      <c r="B399" s="18" t="s">
        <v>731</v>
      </c>
      <c r="C399" s="925" t="s">
        <v>1595</v>
      </c>
      <c r="D399" s="925"/>
      <c r="E399" s="925"/>
      <c r="F399" s="925"/>
      <c r="G399" s="927" t="s">
        <v>898</v>
      </c>
      <c r="H399" s="927"/>
      <c r="I399" s="927"/>
      <c r="J399" s="927"/>
      <c r="K399" s="925"/>
      <c r="L399" s="925"/>
      <c r="M399" s="925"/>
      <c r="N399" s="925"/>
      <c r="O399" s="925"/>
      <c r="P399" s="845"/>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3">
      <c r="B400" s="147" t="s">
        <v>906</v>
      </c>
      <c r="C400" s="708"/>
      <c r="D400" s="708"/>
      <c r="E400" s="948">
        <f>UETable!AV70</f>
        <v>0</v>
      </c>
      <c r="F400" s="948"/>
      <c r="G400" s="708"/>
      <c r="H400" s="708"/>
      <c r="I400" s="929">
        <f>IF(C400="",0,IF(OR(C400&lt;=0,G400&lt;=0),E400,IF(G400&lt;C400,0,UETable!BA70)))</f>
        <v>0</v>
      </c>
      <c r="J400" s="929"/>
      <c r="K400" s="946" t="str">
        <f>IF(OR(C400="NA",G400="NA"),"",IF(AND(C400&lt;&gt;"",G400=""),"Enter contralateral or NA.",IF(AND(C400="",G400&lt;&gt;""),"Need data","")))</f>
        <v/>
      </c>
      <c r="L400" s="946"/>
      <c r="M400" s="946"/>
      <c r="N400" s="946"/>
      <c r="O400" s="946"/>
      <c r="P400" s="846"/>
      <c r="R400" s="132"/>
      <c r="S400" s="50">
        <v>60</v>
      </c>
      <c r="T400" s="50" t="str">
        <f t="shared" ref="T400:T407" si="55">IF(OR(C400="",C400="NA"),"",IF(C400&gt;S400,S400,IF(C400&lt;0,0,C400)))</f>
        <v/>
      </c>
      <c r="U400" s="50" t="str">
        <f>IF(OR(G400="",G400="NA"),"",IF(G400&gt;S400,S400,IF(G400&lt;0,0,G400)))</f>
        <v/>
      </c>
      <c r="V400" s="562" t="str">
        <f>IF(Y400="","",ROUND(Y400,0))</f>
        <v/>
      </c>
      <c r="W400" s="739"/>
      <c r="X400" s="739"/>
      <c r="Y400" s="563" t="str">
        <f>IF(T400="","",IF(OR(U400="",U400=0,U400&lt;T400),T400,(T400*60)/U400))</f>
        <v/>
      </c>
      <c r="Z400" s="10"/>
      <c r="AA400" s="10"/>
      <c r="AB400" s="10"/>
      <c r="AC400" s="10"/>
      <c r="AD400" s="10"/>
      <c r="AE400" s="10"/>
      <c r="AF400" s="10"/>
      <c r="AG400" s="10"/>
      <c r="AH400" s="10"/>
      <c r="AI400" s="94"/>
      <c r="AJ400" s="739"/>
      <c r="AK400" s="739"/>
      <c r="AL400" s="739"/>
      <c r="AM400" s="739"/>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3">
      <c r="B401" s="147" t="s">
        <v>1205</v>
      </c>
      <c r="C401" s="708"/>
      <c r="D401" s="708"/>
      <c r="E401" s="948">
        <f>IF(AND($AJ$407=1,$AK$407=1),"ERROR",UETable!AV71)</f>
        <v>0</v>
      </c>
      <c r="F401" s="948"/>
      <c r="G401" s="946" t="str">
        <f>IF(AND($AK$407=1,$AJ$407=1),"Cannot rate ROM and ankylosis.","")</f>
        <v/>
      </c>
      <c r="H401" s="946"/>
      <c r="I401" s="946"/>
      <c r="J401" s="946"/>
      <c r="K401" s="946"/>
      <c r="L401" s="946"/>
      <c r="M401" s="946"/>
      <c r="N401" s="946"/>
      <c r="O401" s="946"/>
      <c r="P401" s="846"/>
      <c r="R401" s="95"/>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3">
      <c r="B402" s="147" t="s">
        <v>908</v>
      </c>
      <c r="C402" s="708"/>
      <c r="D402" s="708"/>
      <c r="E402" s="948">
        <f>UETable!AV72</f>
        <v>0</v>
      </c>
      <c r="F402" s="948"/>
      <c r="G402" s="708"/>
      <c r="H402" s="708"/>
      <c r="I402" s="929">
        <f>IF(C402="",0,IF(OR(C402&lt;=0,G402&lt;=0),E402,IF(G402&lt;C402,0,UETable!BA72)))</f>
        <v>0</v>
      </c>
      <c r="J402" s="929"/>
      <c r="K402" s="946" t="str">
        <f>IF(OR(C402="NA",G402="NA"),"",IF(AND(C402&lt;&gt;"",G402=""),"Enter contralateral or NA.",IF(AND(C402="",G402&lt;&gt;""),"Need data","")))</f>
        <v/>
      </c>
      <c r="L402" s="946"/>
      <c r="M402" s="946"/>
      <c r="N402" s="946"/>
      <c r="O402" s="946"/>
      <c r="P402" s="846"/>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3">
      <c r="B403" s="147" t="s">
        <v>1203</v>
      </c>
      <c r="C403" s="708"/>
      <c r="D403" s="708"/>
      <c r="E403" s="948">
        <f>IF(AND($AJ$407=1,$AK$407=1),"ERROR",UETable!AV73)</f>
        <v>0</v>
      </c>
      <c r="F403" s="948"/>
      <c r="G403" s="946" t="str">
        <f>IF(AND($AK$407=1,$AJ$407=1),"Cannot rate ROM and ankylosis.","")</f>
        <v/>
      </c>
      <c r="H403" s="946"/>
      <c r="I403" s="946"/>
      <c r="J403" s="946"/>
      <c r="K403" s="946"/>
      <c r="L403" s="946"/>
      <c r="M403" s="946"/>
      <c r="N403" s="946"/>
      <c r="O403" s="946"/>
      <c r="P403" s="846"/>
      <c r="R403" s="10"/>
      <c r="S403" s="50">
        <v>70</v>
      </c>
      <c r="T403" s="50" t="str">
        <f t="shared" si="55"/>
        <v/>
      </c>
      <c r="U403" s="10"/>
      <c r="V403" s="10"/>
      <c r="W403" s="10"/>
      <c r="X403" s="10"/>
      <c r="Y403" s="190"/>
      <c r="Z403" s="10"/>
      <c r="AA403" s="10"/>
      <c r="AB403" s="10"/>
      <c r="AC403" s="193">
        <f>MAX(E401,E403,E405,E407)</f>
        <v>0</v>
      </c>
      <c r="AD403" s="806" t="s">
        <v>1942</v>
      </c>
      <c r="AE403" s="806"/>
      <c r="AF403" s="806"/>
      <c r="AG403" s="806"/>
      <c r="AH403" s="10"/>
      <c r="AI403" s="10"/>
      <c r="AJ403" s="776" t="s">
        <v>692</v>
      </c>
      <c r="AK403" s="776" t="s">
        <v>693</v>
      </c>
      <c r="AL403" s="776" t="s">
        <v>895</v>
      </c>
      <c r="AM403" s="776" t="s">
        <v>896</v>
      </c>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3">
      <c r="B404" s="146" t="s">
        <v>909</v>
      </c>
      <c r="C404" s="708"/>
      <c r="D404" s="708"/>
      <c r="E404" s="948">
        <f>UETable!AV74</f>
        <v>0</v>
      </c>
      <c r="F404" s="948"/>
      <c r="G404" s="708"/>
      <c r="H404" s="708"/>
      <c r="I404" s="929">
        <f>IF(C404="",0,IF(OR(C404&lt;=0,G404&lt;=0),E404,IF(G404&lt;C404,0,UETable!BA74)))</f>
        <v>0</v>
      </c>
      <c r="J404" s="929"/>
      <c r="K404" s="946" t="str">
        <f>IF(OR(C404="NA",G404="NA"),"",IF(AND(C404&lt;&gt;"",G404=""),"Enter contralateral or NA.",IF(AND(C404="",G404&lt;&gt;""),"Need data","")))</f>
        <v/>
      </c>
      <c r="L404" s="946"/>
      <c r="M404" s="946"/>
      <c r="N404" s="946"/>
      <c r="O404" s="946"/>
      <c r="P404" s="846"/>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194">
        <f>IF(AND(AJ407=1,AK407=1),"ERROR",I400+I402+I404+I406+AC403)</f>
        <v>0</v>
      </c>
      <c r="AD404" s="806" t="s">
        <v>907</v>
      </c>
      <c r="AE404" s="806"/>
      <c r="AF404" s="806"/>
      <c r="AG404" s="806"/>
      <c r="AH404" s="39"/>
      <c r="AI404" s="10"/>
      <c r="AJ404" s="776"/>
      <c r="AK404" s="776"/>
      <c r="AL404" s="776"/>
      <c r="AM404" s="776"/>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3">
      <c r="B405" s="146" t="s">
        <v>910</v>
      </c>
      <c r="C405" s="708"/>
      <c r="D405" s="708"/>
      <c r="E405" s="948">
        <f>IF(AND($AJ$407=1,$AK$407=1),"ERROR",UETable!AV75)</f>
        <v>0</v>
      </c>
      <c r="F405" s="948"/>
      <c r="G405" s="946" t="str">
        <f>IF(AND($AK$407=1,$AJ$407=1),"Cannot rate ROM and ankylosis.","")</f>
        <v/>
      </c>
      <c r="H405" s="946"/>
      <c r="I405" s="946"/>
      <c r="J405" s="946"/>
      <c r="K405" s="946"/>
      <c r="L405" s="946"/>
      <c r="M405" s="946"/>
      <c r="N405" s="946"/>
      <c r="O405" s="946"/>
      <c r="P405" s="846"/>
      <c r="R405" s="10"/>
      <c r="S405" s="50">
        <v>20</v>
      </c>
      <c r="T405" s="50" t="str">
        <f t="shared" si="55"/>
        <v/>
      </c>
      <c r="U405" s="10"/>
      <c r="V405" s="10"/>
      <c r="W405" s="10"/>
      <c r="X405" s="10"/>
      <c r="Y405" s="190"/>
      <c r="Z405" s="10"/>
      <c r="AA405" s="10"/>
      <c r="AB405" s="10"/>
      <c r="AC405" s="10"/>
      <c r="AD405" s="10"/>
      <c r="AE405" s="10"/>
      <c r="AF405" s="10"/>
      <c r="AG405" s="10"/>
      <c r="AH405" s="39"/>
      <c r="AI405" s="10"/>
      <c r="AJ405" s="776"/>
      <c r="AK405" s="776"/>
      <c r="AL405" s="776"/>
      <c r="AM405" s="776"/>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3">
      <c r="B406" s="146" t="s">
        <v>911</v>
      </c>
      <c r="C406" s="708"/>
      <c r="D406" s="708"/>
      <c r="E406" s="948">
        <f>UETable!AV76</f>
        <v>0</v>
      </c>
      <c r="F406" s="948"/>
      <c r="G406" s="708"/>
      <c r="H406" s="708"/>
      <c r="I406" s="929">
        <f>IF(C406="",0,IF(OR(C406&lt;=0,G406&lt;=0),E406,IF(G406&lt;C406,0,UETable!BA76)))</f>
        <v>0</v>
      </c>
      <c r="J406" s="929"/>
      <c r="K406" s="946" t="str">
        <f>IF(OR(C406="NA",G406="NA"),"",IF(AND(C406&lt;&gt;"",G406=""),"Enter contralateral or NA.",IF(AND(C406="",G406&lt;&gt;""),"Need data","")))</f>
        <v/>
      </c>
      <c r="L406" s="946"/>
      <c r="M406" s="946"/>
      <c r="N406" s="946"/>
      <c r="O406" s="946"/>
      <c r="P406" s="846"/>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776"/>
      <c r="AK406" s="776"/>
      <c r="AL406" s="776"/>
      <c r="AM406" s="776"/>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3">
      <c r="B407" s="146" t="s">
        <v>912</v>
      </c>
      <c r="C407" s="708"/>
      <c r="D407" s="708"/>
      <c r="E407" s="948">
        <f>IF(AND($AJ$407=1,$AK$407=1),"ERROR",UETable!AV77)</f>
        <v>0</v>
      </c>
      <c r="F407" s="948"/>
      <c r="G407" s="946" t="str">
        <f>IF(AND($AK$407=1,$AJ$407=1),"Cannot rate ROM and ankylosis.","")</f>
        <v/>
      </c>
      <c r="H407" s="946"/>
      <c r="I407" s="946"/>
      <c r="J407" s="946"/>
      <c r="K407" s="946"/>
      <c r="L407" s="946"/>
      <c r="M407" s="946"/>
      <c r="N407" s="946"/>
      <c r="O407" s="946"/>
      <c r="P407" s="847"/>
      <c r="R407" s="10"/>
      <c r="S407" s="50">
        <v>30</v>
      </c>
      <c r="T407" s="50" t="str">
        <f t="shared" si="55"/>
        <v/>
      </c>
      <c r="U407" s="595"/>
      <c r="V407" s="940" t="s">
        <v>2189</v>
      </c>
      <c r="W407" s="941"/>
      <c r="X407" s="941"/>
      <c r="Y407" s="941"/>
      <c r="Z407" s="941"/>
      <c r="AA407" s="941"/>
      <c r="AB407" s="941"/>
      <c r="AC407" s="942"/>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3">
      <c r="B408" s="940"/>
      <c r="C408" s="941"/>
      <c r="D408" s="941"/>
      <c r="E408" s="941"/>
      <c r="F408" s="942"/>
      <c r="G408" s="1100" t="s">
        <v>732</v>
      </c>
      <c r="H408" s="1100"/>
      <c r="I408" s="1100"/>
      <c r="J408" s="1100"/>
      <c r="K408" s="1100"/>
      <c r="L408" s="1100"/>
      <c r="M408" s="1100"/>
      <c r="N408" s="1100"/>
      <c r="O408" s="1101"/>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3">
      <c r="B409" s="792"/>
      <c r="C409" s="792"/>
      <c r="D409" s="792"/>
      <c r="E409" s="792"/>
      <c r="F409" s="792"/>
      <c r="G409" s="792"/>
      <c r="H409" s="792"/>
      <c r="I409" s="792"/>
      <c r="J409" s="792"/>
      <c r="K409" s="792"/>
      <c r="L409" s="792"/>
      <c r="M409" s="792"/>
      <c r="N409" s="792"/>
      <c r="O409" s="79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3">
      <c r="B410" s="792"/>
      <c r="C410" s="792"/>
      <c r="D410" s="792"/>
      <c r="E410" s="792"/>
      <c r="F410" s="792"/>
      <c r="G410" s="792"/>
      <c r="H410" s="792"/>
      <c r="I410" s="792"/>
      <c r="J410" s="792"/>
      <c r="K410" s="792"/>
      <c r="L410" s="792"/>
      <c r="M410" s="792"/>
      <c r="N410" s="792"/>
      <c r="O410" s="792"/>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3">
      <c r="B411" s="925" t="s">
        <v>1988</v>
      </c>
      <c r="C411" s="925"/>
      <c r="D411" s="925"/>
      <c r="E411" s="925"/>
      <c r="F411" s="925"/>
      <c r="G411" s="925"/>
      <c r="H411" s="925"/>
      <c r="I411" s="925"/>
      <c r="J411" s="925"/>
      <c r="K411" s="925"/>
      <c r="L411" s="925"/>
      <c r="M411" s="925"/>
      <c r="N411" s="925"/>
      <c r="O411" s="925"/>
      <c r="P411" s="1054"/>
      <c r="R411" s="129"/>
      <c r="S411" s="1027" t="s">
        <v>2190</v>
      </c>
      <c r="T411" s="1027"/>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3">
      <c r="A412" s="15"/>
      <c r="B412" s="50" t="s">
        <v>1556</v>
      </c>
      <c r="C412" s="1023"/>
      <c r="D412" s="1023"/>
      <c r="E412" s="1023"/>
      <c r="F412" s="1023"/>
      <c r="G412" s="1023"/>
      <c r="H412" s="1023"/>
      <c r="I412" s="1023"/>
      <c r="J412" s="1023"/>
      <c r="K412" s="1023"/>
      <c r="L412" s="1023"/>
      <c r="M412" s="1023"/>
      <c r="N412" s="1023"/>
      <c r="O412" s="1023"/>
      <c r="P412" s="1055"/>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3">
      <c r="B413" s="50" t="s">
        <v>1557</v>
      </c>
      <c r="C413" s="1023"/>
      <c r="D413" s="1023"/>
      <c r="E413" s="1023"/>
      <c r="F413" s="1023"/>
      <c r="G413" s="1023"/>
      <c r="H413" s="1023"/>
      <c r="I413" s="1023"/>
      <c r="J413" s="1023"/>
      <c r="K413" s="1023"/>
      <c r="L413" s="1023"/>
      <c r="M413" s="1023"/>
      <c r="N413" s="1023"/>
      <c r="O413" s="1023"/>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3">
      <c r="B414" s="925" t="s">
        <v>733</v>
      </c>
      <c r="C414" s="925"/>
      <c r="D414" s="925"/>
      <c r="E414" s="925"/>
      <c r="F414" s="925"/>
      <c r="G414" s="925"/>
      <c r="H414" s="925"/>
      <c r="I414" s="925"/>
      <c r="J414" s="925"/>
      <c r="K414" s="925"/>
      <c r="L414" s="925"/>
      <c r="M414" s="925"/>
      <c r="N414" s="925"/>
      <c r="O414" s="925"/>
      <c r="P414" s="1054"/>
      <c r="R414" s="129"/>
      <c r="S414" s="1027" t="s">
        <v>2190</v>
      </c>
      <c r="T414" s="1027"/>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3">
      <c r="A415" s="15"/>
      <c r="B415" s="50" t="s">
        <v>1556</v>
      </c>
      <c r="C415" s="1023"/>
      <c r="D415" s="1023"/>
      <c r="E415" s="1023"/>
      <c r="F415" s="1023"/>
      <c r="G415" s="1023"/>
      <c r="H415" s="1023"/>
      <c r="I415" s="1023"/>
      <c r="J415" s="1023"/>
      <c r="K415" s="1023"/>
      <c r="L415" s="1023"/>
      <c r="M415" s="1023"/>
      <c r="N415" s="1023"/>
      <c r="O415" s="1023"/>
      <c r="P415" s="1055"/>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3">
      <c r="B416" s="50" t="s">
        <v>1557</v>
      </c>
      <c r="C416" s="1023"/>
      <c r="D416" s="1023"/>
      <c r="E416" s="1023"/>
      <c r="F416" s="1023"/>
      <c r="G416" s="1023"/>
      <c r="H416" s="1023"/>
      <c r="I416" s="1023"/>
      <c r="J416" s="1023"/>
      <c r="K416" s="1023"/>
      <c r="L416" s="1023"/>
      <c r="M416" s="1023"/>
      <c r="N416" s="1023"/>
      <c r="O416" s="1023"/>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3">
      <c r="B417" s="792"/>
      <c r="C417" s="792"/>
      <c r="D417" s="792"/>
      <c r="E417" s="792"/>
      <c r="F417" s="792"/>
      <c r="G417" s="792"/>
      <c r="H417" s="792"/>
      <c r="I417" s="792"/>
      <c r="J417" s="792"/>
      <c r="K417" s="792"/>
      <c r="L417" s="792"/>
      <c r="M417" s="792"/>
      <c r="N417" s="792"/>
      <c r="O417" s="792"/>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3">
      <c r="B418" s="50" t="s">
        <v>1232</v>
      </c>
      <c r="C418" s="925" t="s">
        <v>1370</v>
      </c>
      <c r="D418" s="925"/>
      <c r="E418" s="925"/>
      <c r="F418" s="925"/>
      <c r="G418" s="925"/>
      <c r="H418" s="925" t="s">
        <v>1795</v>
      </c>
      <c r="I418" s="925"/>
      <c r="J418" s="925"/>
      <c r="K418" s="18"/>
      <c r="L418" s="925" t="s">
        <v>1233</v>
      </c>
      <c r="M418" s="925"/>
      <c r="N418" s="925"/>
      <c r="O418" s="925"/>
      <c r="P418" s="146"/>
      <c r="R418" s="10"/>
      <c r="S418" s="925" t="s">
        <v>2191</v>
      </c>
      <c r="T418" s="925"/>
      <c r="U418" s="878" t="s">
        <v>2196</v>
      </c>
      <c r="V418" s="878"/>
      <c r="W418" s="878"/>
      <c r="X418" s="878"/>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3">
      <c r="B419" s="146" t="s">
        <v>734</v>
      </c>
      <c r="C419" s="933"/>
      <c r="D419" s="933"/>
      <c r="E419" s="933"/>
      <c r="F419" s="933"/>
      <c r="G419" s="933"/>
      <c r="H419" s="936">
        <f>IF(C419=$U$419,0.15,IF(C419=$V$419,0.3,IF(C419=$W$419,0.45,0)))</f>
        <v>0</v>
      </c>
      <c r="I419" s="936"/>
      <c r="J419" s="936"/>
      <c r="K419" s="146"/>
      <c r="L419" s="708"/>
      <c r="M419" s="708"/>
      <c r="N419" s="708"/>
      <c r="O419" s="21">
        <f>IF(H419&gt;=S419,H419-S419,0)</f>
        <v>0</v>
      </c>
      <c r="P419" s="248">
        <f>O419</f>
        <v>0</v>
      </c>
      <c r="R419" s="10"/>
      <c r="S419" s="582">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3">
      <c r="B420" s="146" t="s">
        <v>731</v>
      </c>
      <c r="C420" s="933"/>
      <c r="D420" s="933"/>
      <c r="E420" s="933"/>
      <c r="F420" s="933"/>
      <c r="G420" s="933"/>
      <c r="H420" s="936">
        <f>IF(C420=$U$419,0.15,IF(C420=$V$419,0.3,IF(C420=$W$419,0.45,0)))</f>
        <v>0</v>
      </c>
      <c r="I420" s="936"/>
      <c r="J420" s="936"/>
      <c r="K420" s="146"/>
      <c r="L420" s="708"/>
      <c r="M420" s="708"/>
      <c r="N420" s="708"/>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3">
      <c r="B421" s="792"/>
      <c r="C421" s="792"/>
      <c r="D421" s="792"/>
      <c r="E421" s="792"/>
      <c r="F421" s="792"/>
      <c r="G421" s="792"/>
      <c r="H421" s="792"/>
      <c r="I421" s="792"/>
      <c r="J421" s="792"/>
      <c r="K421" s="792"/>
      <c r="L421" s="792"/>
      <c r="M421" s="792"/>
      <c r="N421" s="792"/>
      <c r="O421" s="79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3">
      <c r="A422" s="15"/>
      <c r="B422" s="771" t="s">
        <v>791</v>
      </c>
      <c r="C422" s="772"/>
      <c r="D422" s="772"/>
      <c r="E422" s="772"/>
      <c r="F422" s="773"/>
      <c r="G422" s="1023"/>
      <c r="H422" s="1023"/>
      <c r="I422" s="806" t="s">
        <v>792</v>
      </c>
      <c r="J422" s="806"/>
      <c r="K422" s="806"/>
      <c r="L422" s="806"/>
      <c r="M422" s="806"/>
      <c r="N422" s="806"/>
      <c r="O422" s="806"/>
      <c r="P422" s="248">
        <f>IF(T422=1,0.1,0)</f>
        <v>0</v>
      </c>
      <c r="R422" s="1143"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3">
      <c r="A423" s="15"/>
      <c r="B423" s="771" t="s">
        <v>791</v>
      </c>
      <c r="C423" s="772"/>
      <c r="D423" s="772"/>
      <c r="E423" s="772"/>
      <c r="F423" s="773"/>
      <c r="G423" s="1023"/>
      <c r="H423" s="1023"/>
      <c r="I423" s="806" t="s">
        <v>793</v>
      </c>
      <c r="J423" s="806"/>
      <c r="K423" s="806"/>
      <c r="L423" s="806"/>
      <c r="M423" s="806"/>
      <c r="N423" s="806"/>
      <c r="O423" s="806"/>
      <c r="P423" s="248">
        <f>IF(T423=1,0.1,0)</f>
        <v>0</v>
      </c>
      <c r="R423" s="1143"/>
      <c r="S423" s="555"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3">
      <c r="B424" s="712"/>
      <c r="C424" s="712"/>
      <c r="D424" s="712"/>
      <c r="E424" s="712"/>
      <c r="F424" s="712"/>
      <c r="G424" s="712"/>
      <c r="H424" s="712"/>
      <c r="I424" s="712"/>
      <c r="J424" s="712"/>
      <c r="K424" s="712"/>
      <c r="L424" s="712"/>
      <c r="M424" s="712"/>
      <c r="N424" s="712"/>
      <c r="O424" s="712"/>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3">
      <c r="B425" s="925" t="s">
        <v>614</v>
      </c>
      <c r="C425" s="925"/>
      <c r="D425" s="925"/>
      <c r="E425" s="925"/>
      <c r="F425" s="925"/>
      <c r="G425" s="925"/>
      <c r="H425" s="925"/>
      <c r="I425" s="925"/>
      <c r="J425" s="925"/>
      <c r="K425" s="925"/>
      <c r="L425" s="925"/>
      <c r="M425" s="925"/>
      <c r="N425" s="925"/>
      <c r="O425" s="925"/>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x14ac:dyDescent="0.3">
      <c r="B426" s="806" t="s">
        <v>207</v>
      </c>
      <c r="C426" s="806"/>
      <c r="D426" s="806"/>
      <c r="E426" s="806"/>
      <c r="F426" s="806"/>
      <c r="G426" s="513"/>
      <c r="H426" s="940" t="s">
        <v>222</v>
      </c>
      <c r="I426" s="941"/>
      <c r="J426" s="941"/>
      <c r="K426" s="941"/>
      <c r="L426" s="941"/>
      <c r="M426" s="941"/>
      <c r="N426" s="941"/>
      <c r="O426" s="942"/>
      <c r="P426" s="21">
        <f>IF(G426=1,0.05,IF(G426=2,0.1,IF(G426=3,0.15,IF(G426=4,0.2,IF(G426=5,0.25,IF(G426&gt;5,0.3,0))))))</f>
        <v>0</v>
      </c>
      <c r="R426" s="14"/>
      <c r="S426" s="50" t="s">
        <v>1727</v>
      </c>
      <c r="T426" s="562">
        <v>1</v>
      </c>
      <c r="U426" s="562">
        <v>2</v>
      </c>
      <c r="V426" s="585">
        <v>3</v>
      </c>
      <c r="W426" s="562">
        <v>4</v>
      </c>
      <c r="X426" s="585">
        <v>5</v>
      </c>
      <c r="Y426" s="562">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x14ac:dyDescent="0.3">
      <c r="B427" s="806" t="s">
        <v>474</v>
      </c>
      <c r="C427" s="806"/>
      <c r="D427" s="806"/>
      <c r="E427" s="806"/>
      <c r="F427" s="806"/>
      <c r="G427" s="513"/>
      <c r="H427" s="753">
        <f>IF(G427&gt;=1,0.05,0)</f>
        <v>0</v>
      </c>
      <c r="I427" s="754"/>
      <c r="J427" s="755"/>
      <c r="K427" s="753">
        <f>IF(G427&gt;1,0.05,0)</f>
        <v>0</v>
      </c>
      <c r="L427" s="755"/>
      <c r="M427" s="753">
        <f>IF(G427&gt;2,0.05,0)</f>
        <v>0</v>
      </c>
      <c r="N427" s="755"/>
      <c r="O427" s="21">
        <f>IF(G427&gt;3,0.05,0)</f>
        <v>0</v>
      </c>
      <c r="P427" s="1064"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x14ac:dyDescent="0.3">
      <c r="B428" s="940"/>
      <c r="C428" s="941"/>
      <c r="D428" s="941"/>
      <c r="E428" s="941"/>
      <c r="F428" s="941"/>
      <c r="G428" s="941"/>
      <c r="H428" s="753">
        <f>IF(G427&gt;4,0.05,0)</f>
        <v>0</v>
      </c>
      <c r="I428" s="754"/>
      <c r="J428" s="755"/>
      <c r="K428" s="753">
        <f>IF(G427&gt;5,0.05,0)</f>
        <v>0</v>
      </c>
      <c r="L428" s="755"/>
      <c r="M428" s="753">
        <f>IF(G427&gt;6,0.05,0)</f>
        <v>0</v>
      </c>
      <c r="N428" s="755"/>
      <c r="O428" s="21">
        <f>IF(G427&gt;7,0.05,0)</f>
        <v>0</v>
      </c>
      <c r="P428" s="1065"/>
      <c r="R428" s="10"/>
      <c r="S428" s="50" t="s">
        <v>2193</v>
      </c>
      <c r="T428" s="562">
        <v>1</v>
      </c>
      <c r="U428" s="562">
        <v>2</v>
      </c>
      <c r="V428" s="585">
        <v>3</v>
      </c>
      <c r="W428" s="562">
        <v>4</v>
      </c>
      <c r="X428" s="585">
        <v>5</v>
      </c>
      <c r="Y428" s="562">
        <v>6</v>
      </c>
      <c r="Z428" s="585">
        <v>7</v>
      </c>
      <c r="AA428" s="562">
        <v>8</v>
      </c>
      <c r="AH428" s="10"/>
      <c r="AI428" s="10"/>
      <c r="AJ428" s="14"/>
      <c r="AK428" s="14"/>
      <c r="AL428" s="14"/>
      <c r="AM428" s="14"/>
      <c r="AN428" s="14"/>
      <c r="AO428" s="14"/>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x14ac:dyDescent="0.3">
      <c r="B429" s="806" t="s">
        <v>1549</v>
      </c>
      <c r="C429" s="806"/>
      <c r="D429" s="806"/>
      <c r="E429" s="806"/>
      <c r="F429" s="806"/>
      <c r="G429" s="513"/>
      <c r="H429" s="753">
        <f>IF(G429&gt;=1,0.05,0)</f>
        <v>0</v>
      </c>
      <c r="I429" s="754"/>
      <c r="J429" s="755"/>
      <c r="K429" s="753">
        <f>IF(G429&gt;1,0.05,0)</f>
        <v>0</v>
      </c>
      <c r="L429" s="755"/>
      <c r="M429" s="753">
        <f>IF(G429&gt;2,0.05,0)</f>
        <v>0</v>
      </c>
      <c r="N429" s="755"/>
      <c r="O429" s="21">
        <f>IF(G429&gt;3,0.05,0)</f>
        <v>0</v>
      </c>
      <c r="P429" s="1065"/>
      <c r="R429" s="10"/>
      <c r="S429" s="10"/>
      <c r="T429" s="10"/>
      <c r="U429" s="10"/>
      <c r="V429" s="10"/>
      <c r="W429" s="10"/>
      <c r="X429" s="10"/>
      <c r="Y429" s="10"/>
      <c r="AI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x14ac:dyDescent="0.3">
      <c r="B430" s="940"/>
      <c r="C430" s="941"/>
      <c r="D430" s="941"/>
      <c r="E430" s="941"/>
      <c r="F430" s="941"/>
      <c r="G430" s="941"/>
      <c r="H430" s="753">
        <f>IF(G429&gt;4,0.05,0)</f>
        <v>0</v>
      </c>
      <c r="I430" s="754"/>
      <c r="J430" s="755"/>
      <c r="K430" s="753">
        <f>IF(G429&gt;5,0.05,0)</f>
        <v>0</v>
      </c>
      <c r="L430" s="755"/>
      <c r="M430" s="753">
        <f>IF(G429&gt;6,0.05,0)</f>
        <v>0</v>
      </c>
      <c r="N430" s="755"/>
      <c r="O430" s="21">
        <f>IF(G429&gt;7,0.05,0)</f>
        <v>0</v>
      </c>
      <c r="P430" s="1066"/>
      <c r="R430" s="10"/>
      <c r="S430" s="10"/>
      <c r="T430" s="10"/>
      <c r="U430" s="10"/>
      <c r="V430" s="10"/>
      <c r="W430" s="10"/>
      <c r="X430" s="10"/>
      <c r="Y430" s="10"/>
      <c r="Z430" s="10"/>
      <c r="AA430" s="10"/>
      <c r="AB430" s="14"/>
      <c r="AC430" s="10"/>
      <c r="AD430" s="14"/>
      <c r="AE430" s="10"/>
      <c r="AF430" s="14"/>
      <c r="AG430" s="10"/>
      <c r="AH430" s="10"/>
      <c r="AI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x14ac:dyDescent="0.3">
      <c r="B431" s="806" t="s">
        <v>1534</v>
      </c>
      <c r="C431" s="806"/>
      <c r="D431" s="806"/>
      <c r="E431" s="806"/>
      <c r="F431" s="806"/>
      <c r="G431" s="745"/>
      <c r="H431" s="892"/>
      <c r="I431" s="892"/>
      <c r="J431" s="892"/>
      <c r="K431" s="892"/>
      <c r="L431" s="892"/>
      <c r="M431" s="892"/>
      <c r="N431" s="835"/>
      <c r="O431" s="146"/>
      <c r="P431" s="21">
        <f>IF(G431="Resection with replacement",0.05,IF(G431="Resection without replacement",0.1,0))</f>
        <v>0</v>
      </c>
      <c r="R431" s="955" t="s">
        <v>2196</v>
      </c>
      <c r="S431" s="50" t="s">
        <v>1550</v>
      </c>
      <c r="T431" s="50" t="s">
        <v>1533</v>
      </c>
      <c r="W431" s="10"/>
      <c r="X431" s="10"/>
      <c r="Y431" s="10"/>
      <c r="Z431" s="14"/>
      <c r="AA431" s="14"/>
      <c r="AB431" s="14"/>
      <c r="AC431" s="14"/>
      <c r="AD431" s="14"/>
      <c r="AE431" s="14"/>
      <c r="AF431" s="14"/>
      <c r="AH431" s="10"/>
      <c r="AI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x14ac:dyDescent="0.3">
      <c r="B432" s="757" t="s">
        <v>1140</v>
      </c>
      <c r="C432" s="758"/>
      <c r="D432" s="758"/>
      <c r="E432" s="758"/>
      <c r="F432" s="759"/>
      <c r="G432" s="745"/>
      <c r="H432" s="1038"/>
      <c r="I432" s="1038"/>
      <c r="J432" s="1038"/>
      <c r="K432" s="1038"/>
      <c r="L432" s="1038"/>
      <c r="M432" s="1038"/>
      <c r="N432" s="1002"/>
      <c r="O432" s="146"/>
      <c r="P432" s="21">
        <f>IF(G432="Yes",0.06,0)</f>
        <v>0</v>
      </c>
      <c r="R432" s="955"/>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109" ht="12" customHeight="1" x14ac:dyDescent="0.3">
      <c r="B433" s="792"/>
      <c r="C433" s="792"/>
      <c r="D433" s="792"/>
      <c r="E433" s="792"/>
      <c r="F433" s="792"/>
      <c r="G433" s="792"/>
      <c r="H433" s="792"/>
      <c r="I433" s="792"/>
      <c r="J433" s="792"/>
      <c r="K433" s="792"/>
      <c r="L433" s="792"/>
      <c r="M433" s="792"/>
      <c r="N433" s="792"/>
      <c r="O433" s="792"/>
      <c r="R433" s="10"/>
      <c r="S433" s="10"/>
      <c r="T433" s="10"/>
      <c r="U433" s="14"/>
      <c r="V433" s="14"/>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1:109" ht="15" customHeight="1" x14ac:dyDescent="0.3">
      <c r="B434" s="449" t="s">
        <v>812</v>
      </c>
      <c r="C434" s="356"/>
      <c r="D434" s="356"/>
      <c r="E434" s="356"/>
      <c r="F434" s="357"/>
      <c r="G434" s="776" t="s">
        <v>615</v>
      </c>
      <c r="H434" s="776"/>
      <c r="I434" s="776"/>
      <c r="J434" s="776"/>
      <c r="K434" s="776"/>
      <c r="L434" s="745"/>
      <c r="M434" s="892"/>
      <c r="N434" s="835"/>
      <c r="O434" s="21">
        <f>SUMIF(T434:X434,L434,T435:X435)</f>
        <v>0</v>
      </c>
      <c r="P434" s="1062"/>
      <c r="R434" s="956" t="s">
        <v>2194</v>
      </c>
      <c r="S434" s="956"/>
      <c r="T434" s="531" t="s">
        <v>1968</v>
      </c>
      <c r="U434" s="50" t="s">
        <v>1969</v>
      </c>
      <c r="V434" s="147" t="s">
        <v>1971</v>
      </c>
      <c r="W434" s="50" t="s">
        <v>945</v>
      </c>
      <c r="X434" s="147" t="s">
        <v>558</v>
      </c>
      <c r="Y434" s="14"/>
      <c r="Z434" s="739"/>
      <c r="AA434" s="739"/>
      <c r="AB434" s="739"/>
      <c r="AC434" s="10"/>
      <c r="AD434" s="10"/>
      <c r="AE434" s="10"/>
      <c r="AF434" s="10"/>
      <c r="AG434" s="10"/>
      <c r="AH434" s="10"/>
      <c r="AI434" s="10"/>
      <c r="AJ434" s="10"/>
      <c r="AK434" s="10"/>
      <c r="AL434" s="10"/>
      <c r="AM434" s="10"/>
      <c r="AN434" s="10"/>
      <c r="AO434" s="10"/>
      <c r="AP434" s="10"/>
      <c r="AQ434" s="10"/>
      <c r="AR434" s="10"/>
      <c r="AS434" s="10"/>
      <c r="AT434" s="10"/>
    </row>
    <row r="435" spans="1:109" ht="18" customHeight="1" x14ac:dyDescent="0.3">
      <c r="B435" s="358"/>
      <c r="C435" s="322"/>
      <c r="D435" s="322"/>
      <c r="E435" s="322"/>
      <c r="F435" s="195"/>
      <c r="G435" s="776" t="s">
        <v>951</v>
      </c>
      <c r="H435" s="776"/>
      <c r="I435" s="776"/>
      <c r="J435" s="776"/>
      <c r="K435" s="776"/>
      <c r="L435" s="745"/>
      <c r="M435" s="892"/>
      <c r="N435" s="835"/>
      <c r="O435" s="21">
        <f>SUMIF(T434:X434,L435,T435:X435)</f>
        <v>0</v>
      </c>
      <c r="P435" s="1063"/>
      <c r="R435" s="956"/>
      <c r="S435" s="956"/>
      <c r="T435" s="572">
        <v>0.03</v>
      </c>
      <c r="U435" s="147">
        <v>0.15</v>
      </c>
      <c r="V435" s="147">
        <v>0.38</v>
      </c>
      <c r="W435" s="147">
        <v>0.68</v>
      </c>
      <c r="X435" s="147">
        <v>0.9</v>
      </c>
      <c r="Y435" s="14"/>
      <c r="Z435" s="739"/>
      <c r="AA435" s="739"/>
      <c r="AB435" s="739"/>
      <c r="AC435" s="10"/>
      <c r="AD435" s="10"/>
      <c r="AE435" s="10"/>
      <c r="AF435" s="10"/>
      <c r="AG435" s="10"/>
      <c r="AH435" s="10"/>
      <c r="AI435" s="10"/>
      <c r="AJ435" s="10"/>
      <c r="AK435" s="10"/>
      <c r="AL435" s="10"/>
      <c r="AM435" s="10"/>
      <c r="AN435" s="10"/>
      <c r="AO435" s="10"/>
      <c r="AP435" s="10"/>
      <c r="AQ435" s="10"/>
      <c r="AR435" s="10"/>
      <c r="AS435" s="10"/>
      <c r="AT435" s="10"/>
    </row>
    <row r="436" spans="1:109" ht="18" customHeight="1" x14ac:dyDescent="0.3">
      <c r="B436" s="776" t="s">
        <v>1653</v>
      </c>
      <c r="C436" s="776"/>
      <c r="D436" s="776"/>
      <c r="E436" s="776"/>
      <c r="F436" s="776"/>
      <c r="G436" s="776"/>
      <c r="H436" s="776"/>
      <c r="I436" s="776"/>
      <c r="J436" s="776"/>
      <c r="K436" s="776"/>
      <c r="L436" s="776"/>
      <c r="M436" s="776"/>
      <c r="N436" s="776"/>
      <c r="O436" s="776"/>
      <c r="P436" s="248">
        <f>MAX(O434,O435)</f>
        <v>0</v>
      </c>
      <c r="R436" s="956"/>
      <c r="S436" s="956"/>
      <c r="T436" s="10"/>
      <c r="U436" s="10"/>
      <c r="V436" s="10"/>
      <c r="W436" s="10"/>
      <c r="X436" s="190"/>
      <c r="Y436" s="14"/>
      <c r="Z436" s="739"/>
      <c r="AA436" s="739"/>
      <c r="AB436" s="739"/>
      <c r="AC436" s="10"/>
      <c r="AD436" s="10"/>
      <c r="AE436" s="10"/>
      <c r="AF436" s="10"/>
      <c r="AG436" s="10"/>
      <c r="AH436" s="10"/>
      <c r="AI436" s="10"/>
      <c r="AJ436" s="10"/>
      <c r="AK436" s="10"/>
      <c r="AL436" s="10"/>
      <c r="AM436" s="10"/>
      <c r="AN436" s="10"/>
      <c r="AO436" s="10"/>
      <c r="AP436" s="10"/>
      <c r="AQ436" s="10"/>
      <c r="AR436" s="10"/>
      <c r="AS436" s="10"/>
      <c r="AT436" s="10"/>
    </row>
    <row r="437" spans="1:109" ht="10.5" customHeight="1" x14ac:dyDescent="0.3">
      <c r="B437" s="792"/>
      <c r="C437" s="792"/>
      <c r="D437" s="792"/>
      <c r="E437" s="792"/>
      <c r="F437" s="792"/>
      <c r="G437" s="792"/>
      <c r="H437" s="792"/>
      <c r="I437" s="792"/>
      <c r="J437" s="792"/>
      <c r="K437" s="792"/>
      <c r="L437" s="792"/>
      <c r="M437" s="792"/>
      <c r="N437" s="792"/>
      <c r="O437" s="792"/>
      <c r="P437" s="1"/>
      <c r="R437" s="956"/>
      <c r="S437" s="956"/>
      <c r="T437" s="10"/>
      <c r="U437" s="10"/>
      <c r="V437" s="10"/>
      <c r="W437" s="10"/>
      <c r="X437" s="190"/>
      <c r="Y437" s="14"/>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109" ht="15" customHeight="1" x14ac:dyDescent="0.3">
      <c r="B438" s="1103" t="s">
        <v>1254</v>
      </c>
      <c r="C438" s="1104"/>
      <c r="D438" s="1104"/>
      <c r="E438" s="1104"/>
      <c r="F438" s="1105"/>
      <c r="G438" s="776" t="s">
        <v>1655</v>
      </c>
      <c r="H438" s="776"/>
      <c r="I438" s="776"/>
      <c r="J438" s="776"/>
      <c r="K438" s="776"/>
      <c r="L438" s="745"/>
      <c r="M438" s="892"/>
      <c r="N438" s="835"/>
      <c r="O438" s="21">
        <f>SUMIF(T438:X438,L438,T439:X439)</f>
        <v>0</v>
      </c>
      <c r="P438" s="1062"/>
      <c r="R438" s="956"/>
      <c r="S438" s="956"/>
      <c r="T438" s="531" t="s">
        <v>1968</v>
      </c>
      <c r="U438" s="50" t="s">
        <v>1969</v>
      </c>
      <c r="V438" s="147" t="s">
        <v>1971</v>
      </c>
      <c r="W438" s="50" t="s">
        <v>945</v>
      </c>
      <c r="X438" s="147" t="s">
        <v>558</v>
      </c>
      <c r="Y438" s="14"/>
      <c r="Z438" s="739"/>
      <c r="AA438" s="739"/>
      <c r="AB438" s="739"/>
      <c r="AC438" s="10"/>
      <c r="AD438" s="10"/>
      <c r="AE438" s="10"/>
      <c r="AF438" s="10"/>
      <c r="AG438" s="10"/>
      <c r="AH438" s="10"/>
      <c r="AI438" s="10"/>
      <c r="AJ438" s="10"/>
      <c r="AK438" s="10"/>
      <c r="AL438" s="10"/>
      <c r="AM438" s="10"/>
      <c r="AN438" s="10"/>
      <c r="AO438" s="10"/>
      <c r="AP438" s="10"/>
      <c r="AQ438" s="10"/>
      <c r="AR438" s="10"/>
      <c r="AS438" s="10"/>
      <c r="AT438" s="10"/>
    </row>
    <row r="439" spans="1:109" ht="15" customHeight="1" x14ac:dyDescent="0.3">
      <c r="B439" s="1106"/>
      <c r="C439" s="1107"/>
      <c r="D439" s="1107"/>
      <c r="E439" s="1107"/>
      <c r="F439" s="1108"/>
      <c r="G439" s="776" t="s">
        <v>1656</v>
      </c>
      <c r="H439" s="776"/>
      <c r="I439" s="776"/>
      <c r="J439" s="776"/>
      <c r="K439" s="776"/>
      <c r="L439" s="745"/>
      <c r="M439" s="892"/>
      <c r="N439" s="835"/>
      <c r="O439" s="21">
        <f>SUMIF(T438:X438,L439,T439:X439)</f>
        <v>0</v>
      </c>
      <c r="P439" s="1063"/>
      <c r="R439" s="956"/>
      <c r="S439" s="956"/>
      <c r="T439" s="572">
        <v>0.03</v>
      </c>
      <c r="U439" s="147">
        <v>0.15</v>
      </c>
      <c r="V439" s="147">
        <v>0.35</v>
      </c>
      <c r="W439" s="147">
        <v>0.63</v>
      </c>
      <c r="X439" s="147">
        <v>0.88</v>
      </c>
      <c r="Y439" s="14"/>
      <c r="Z439" s="739"/>
      <c r="AA439" s="739"/>
      <c r="AB439" s="739"/>
      <c r="AC439" s="10"/>
      <c r="AD439" s="10"/>
      <c r="AE439" s="10"/>
      <c r="AF439" s="10"/>
      <c r="AG439" s="10"/>
      <c r="AH439" s="10"/>
      <c r="AI439" s="10"/>
      <c r="AJ439" s="10"/>
      <c r="AK439" s="10"/>
      <c r="AL439" s="10"/>
      <c r="AM439" s="10"/>
      <c r="AN439" s="10"/>
      <c r="AO439" s="10"/>
      <c r="AP439" s="10"/>
      <c r="AQ439" s="10"/>
      <c r="AR439" s="10"/>
      <c r="AS439" s="10"/>
      <c r="AT439" s="10"/>
    </row>
    <row r="440" spans="1:109" ht="18" customHeight="1" x14ac:dyDescent="0.3">
      <c r="B440" s="771" t="s">
        <v>1653</v>
      </c>
      <c r="C440" s="772"/>
      <c r="D440" s="772"/>
      <c r="E440" s="772"/>
      <c r="F440" s="772"/>
      <c r="G440" s="772"/>
      <c r="H440" s="772"/>
      <c r="I440" s="772"/>
      <c r="J440" s="772"/>
      <c r="K440" s="772"/>
      <c r="L440" s="772"/>
      <c r="M440" s="772"/>
      <c r="N440" s="772"/>
      <c r="O440" s="773"/>
      <c r="P440" s="248">
        <f>MAX(O438,O439)</f>
        <v>0</v>
      </c>
      <c r="R440" s="10"/>
      <c r="S440" s="10"/>
      <c r="T440" s="10"/>
      <c r="U440" s="10"/>
      <c r="V440" s="10"/>
      <c r="W440" s="10"/>
      <c r="X440" s="10"/>
      <c r="Y440" s="14"/>
      <c r="Z440" s="739"/>
      <c r="AA440" s="739"/>
      <c r="AB440" s="739"/>
      <c r="AC440" s="10"/>
      <c r="AD440" s="10"/>
      <c r="AE440" s="10"/>
      <c r="AF440" s="10"/>
      <c r="AG440" s="10"/>
      <c r="AH440" s="10"/>
      <c r="AI440" s="10"/>
      <c r="AJ440" s="10"/>
      <c r="AK440" s="10"/>
      <c r="AL440" s="10"/>
      <c r="AM440" s="10"/>
      <c r="AN440" s="10"/>
      <c r="AO440" s="10"/>
      <c r="AP440" s="10"/>
      <c r="AQ440" s="10"/>
      <c r="AR440" s="10"/>
      <c r="AS440" s="10"/>
      <c r="AT440" s="10"/>
    </row>
    <row r="441" spans="1:109" ht="12" customHeight="1" x14ac:dyDescent="0.3">
      <c r="B441" s="712"/>
      <c r="C441" s="712"/>
      <c r="D441" s="712"/>
      <c r="E441" s="712"/>
      <c r="F441" s="712"/>
      <c r="G441" s="712"/>
      <c r="H441" s="712"/>
      <c r="I441" s="712"/>
      <c r="J441" s="712"/>
      <c r="K441" s="712"/>
      <c r="L441" s="712"/>
      <c r="M441" s="712"/>
      <c r="N441" s="712"/>
      <c r="O441" s="712"/>
      <c r="P441" s="8"/>
      <c r="R441" s="10"/>
      <c r="S441" s="10"/>
      <c r="T441" s="10"/>
      <c r="U441" s="10"/>
      <c r="V441" s="10"/>
      <c r="W441" s="10"/>
      <c r="X441" s="10"/>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row>
    <row r="442" spans="1:109" ht="18" customHeight="1" x14ac:dyDescent="0.3">
      <c r="B442" s="927" t="s">
        <v>952</v>
      </c>
      <c r="C442" s="927"/>
      <c r="D442" s="927"/>
      <c r="E442" s="927"/>
      <c r="F442" s="927"/>
      <c r="G442" s="927"/>
      <c r="H442" s="927"/>
      <c r="I442" s="927"/>
      <c r="J442" s="927"/>
      <c r="K442" s="927"/>
      <c r="L442" s="927"/>
      <c r="M442" s="927"/>
      <c r="N442" s="927"/>
      <c r="O442" s="927"/>
      <c r="P442" s="927"/>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row>
    <row r="443" spans="1:109" ht="114" customHeight="1" x14ac:dyDescent="0.3">
      <c r="B443" s="776" t="s">
        <v>1775</v>
      </c>
      <c r="C443" s="776"/>
      <c r="D443" s="776"/>
      <c r="E443" s="776"/>
      <c r="F443" s="776"/>
      <c r="G443" s="776"/>
      <c r="H443" s="776"/>
      <c r="I443" s="776"/>
      <c r="J443" s="776"/>
      <c r="K443" s="776"/>
      <c r="L443" s="776"/>
      <c r="M443" s="776"/>
      <c r="N443" s="776"/>
      <c r="O443" s="776"/>
      <c r="P443" s="77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row>
    <row r="444" spans="1:109" ht="15" customHeight="1" x14ac:dyDescent="0.3">
      <c r="B444" s="925"/>
      <c r="C444" s="925"/>
      <c r="D444" s="925"/>
      <c r="E444" s="925"/>
      <c r="F444" s="925"/>
      <c r="G444" s="925"/>
      <c r="H444" s="925"/>
      <c r="I444" s="925"/>
      <c r="J444" s="925"/>
      <c r="K444" s="925"/>
      <c r="L444" s="927" t="s">
        <v>1685</v>
      </c>
      <c r="M444" s="1017" t="s">
        <v>1686</v>
      </c>
      <c r="N444" s="1017"/>
      <c r="O444" s="1017"/>
      <c r="P444" s="1017"/>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593">
        <v>0.85</v>
      </c>
      <c r="AF444" s="593">
        <v>0.9</v>
      </c>
      <c r="AG444" s="593">
        <v>0.95</v>
      </c>
      <c r="AH444" s="593">
        <v>1</v>
      </c>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row>
    <row r="445" spans="1:109" ht="15" customHeight="1" x14ac:dyDescent="0.3">
      <c r="B445" s="259" t="s">
        <v>1687</v>
      </c>
      <c r="C445" s="927" t="s">
        <v>953</v>
      </c>
      <c r="D445" s="927"/>
      <c r="E445" s="927"/>
      <c r="F445" s="927"/>
      <c r="G445" s="927"/>
      <c r="H445" s="927"/>
      <c r="I445" s="927"/>
      <c r="J445" s="927"/>
      <c r="K445" s="927"/>
      <c r="L445" s="927"/>
      <c r="M445" s="927" t="s">
        <v>1688</v>
      </c>
      <c r="N445" s="927"/>
      <c r="O445" s="19" t="s">
        <v>1689</v>
      </c>
      <c r="P445" s="19" t="s">
        <v>1690</v>
      </c>
      <c r="R445" s="1141" t="s">
        <v>2198</v>
      </c>
      <c r="S445" s="1141"/>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1:109" ht="15" customHeight="1" x14ac:dyDescent="0.3">
      <c r="A446" s="15"/>
      <c r="B446" s="927"/>
      <c r="C446" s="927"/>
      <c r="D446" s="927"/>
      <c r="E446" s="371"/>
      <c r="F446" s="927" t="s">
        <v>1509</v>
      </c>
      <c r="G446" s="927"/>
      <c r="H446" s="927"/>
      <c r="I446" s="927"/>
      <c r="J446" s="927"/>
      <c r="K446" s="927"/>
      <c r="L446" s="82">
        <f>IF(S446=0,0,0.3)</f>
        <v>0</v>
      </c>
      <c r="M446" s="1028"/>
      <c r="N446" s="1028"/>
      <c r="O446" s="86"/>
      <c r="P446" s="294">
        <f>IF(OR(L446=0,M446=""),0,X446)</f>
        <v>0</v>
      </c>
      <c r="R446" s="586" t="b">
        <v>0</v>
      </c>
      <c r="S446" s="587">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1:109" ht="15" customHeight="1" x14ac:dyDescent="0.3">
      <c r="B447" s="927"/>
      <c r="C447" s="927"/>
      <c r="D447" s="927"/>
      <c r="E447" s="371"/>
      <c r="F447" s="927" t="s">
        <v>1510</v>
      </c>
      <c r="G447" s="927"/>
      <c r="H447" s="927"/>
      <c r="I447" s="927"/>
      <c r="J447" s="927"/>
      <c r="K447" s="927"/>
      <c r="L447" s="82">
        <f>IF(S447=0,0,0.35)</f>
        <v>0</v>
      </c>
      <c r="M447" s="1028"/>
      <c r="N447" s="1028"/>
      <c r="O447" s="86"/>
      <c r="P447" s="294">
        <f>IF(OR(L447=0,M447=""),0,X447)</f>
        <v>0</v>
      </c>
      <c r="R447" s="586" t="b">
        <v>0</v>
      </c>
      <c r="S447" s="587">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1:109" ht="15" customHeight="1" x14ac:dyDescent="0.3">
      <c r="B448" s="927"/>
      <c r="C448" s="927"/>
      <c r="D448" s="927"/>
      <c r="E448" s="371"/>
      <c r="F448" s="927" t="s">
        <v>1511</v>
      </c>
      <c r="G448" s="927"/>
      <c r="H448" s="927"/>
      <c r="I448" s="927"/>
      <c r="J448" s="927"/>
      <c r="K448" s="927"/>
      <c r="L448" s="82">
        <f>IF(S448=0,0,0.35)</f>
        <v>0</v>
      </c>
      <c r="M448" s="1028"/>
      <c r="N448" s="1028"/>
      <c r="O448" s="86"/>
      <c r="P448" s="294">
        <f>IF(OR(L448=0,M448=""),0,X448)</f>
        <v>0</v>
      </c>
      <c r="R448" s="586" t="b">
        <v>0</v>
      </c>
      <c r="S448" s="587">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2:109" ht="15" customHeight="1" x14ac:dyDescent="0.3">
      <c r="B449" s="927"/>
      <c r="C449" s="927"/>
      <c r="D449" s="927"/>
      <c r="E449" s="371"/>
      <c r="F449" s="927" t="s">
        <v>1208</v>
      </c>
      <c r="G449" s="927"/>
      <c r="H449" s="927"/>
      <c r="I449" s="927"/>
      <c r="J449" s="927"/>
      <c r="K449" s="927"/>
      <c r="L449" s="82">
        <f>IF(S449=0,0,0.45)</f>
        <v>0</v>
      </c>
      <c r="M449" s="1028"/>
      <c r="N449" s="1028"/>
      <c r="O449" s="86"/>
      <c r="P449" s="294">
        <f>IF(OR(L449=0,M449=""),0,X449)</f>
        <v>0</v>
      </c>
      <c r="R449" s="586" t="b">
        <v>0</v>
      </c>
      <c r="S449" s="587">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2:109" ht="15" customHeight="1" x14ac:dyDescent="0.3">
      <c r="B450" s="927"/>
      <c r="C450" s="927"/>
      <c r="D450" s="927"/>
      <c r="E450" s="371"/>
      <c r="F450" s="927" t="s">
        <v>1209</v>
      </c>
      <c r="G450" s="927"/>
      <c r="H450" s="927"/>
      <c r="I450" s="927"/>
      <c r="J450" s="927"/>
      <c r="K450" s="927"/>
      <c r="L450" s="82">
        <f>IF(S450=0,0,0.2)</f>
        <v>0</v>
      </c>
      <c r="M450" s="1028"/>
      <c r="N450" s="1028"/>
      <c r="O450" s="86"/>
      <c r="P450" s="294">
        <f>IF(OR(L450=0,M450=""),0,X450)</f>
        <v>0</v>
      </c>
      <c r="R450" s="586" t="b">
        <v>0</v>
      </c>
      <c r="S450" s="587">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2:109" ht="6" customHeight="1" x14ac:dyDescent="0.3">
      <c r="B451" s="712"/>
      <c r="C451" s="712"/>
      <c r="D451" s="712"/>
      <c r="E451" s="712"/>
      <c r="F451" s="712"/>
      <c r="G451" s="712"/>
      <c r="H451" s="712"/>
      <c r="I451" s="712"/>
      <c r="J451" s="712"/>
      <c r="K451" s="712"/>
      <c r="L451" s="712"/>
      <c r="M451" s="712"/>
      <c r="N451" s="712"/>
      <c r="O451" s="712"/>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2:109" ht="6" customHeight="1" x14ac:dyDescent="0.3">
      <c r="B452" s="990"/>
      <c r="C452" s="990"/>
      <c r="D452" s="990"/>
      <c r="E452" s="990"/>
      <c r="F452" s="990"/>
      <c r="G452" s="990"/>
      <c r="H452" s="990"/>
      <c r="I452" s="990"/>
      <c r="J452" s="990"/>
      <c r="K452" s="990"/>
      <c r="L452" s="990"/>
      <c r="M452" s="990"/>
      <c r="N452" s="990"/>
      <c r="O452" s="990"/>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2:109" ht="15" customHeight="1" x14ac:dyDescent="0.3">
      <c r="B453" s="764" t="s">
        <v>1701</v>
      </c>
      <c r="C453" s="765"/>
      <c r="D453" s="765"/>
      <c r="E453" s="772"/>
      <c r="F453" s="772"/>
      <c r="G453" s="772"/>
      <c r="H453" s="772"/>
      <c r="I453" s="772"/>
      <c r="J453" s="772"/>
      <c r="K453" s="772"/>
      <c r="L453" s="772"/>
      <c r="M453" s="772"/>
      <c r="N453" s="772"/>
      <c r="O453" s="772"/>
      <c r="P453" s="773"/>
      <c r="R453" s="129"/>
      <c r="S453" s="98"/>
      <c r="T453" s="147" t="s">
        <v>1688</v>
      </c>
      <c r="U453" s="147" t="s">
        <v>1596</v>
      </c>
      <c r="V453" s="147" t="s">
        <v>1691</v>
      </c>
      <c r="W453" s="147" t="s">
        <v>1692</v>
      </c>
      <c r="X453" s="147"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2:109" ht="27" customHeight="1" x14ac:dyDescent="0.3">
      <c r="B454" s="453" t="s">
        <v>1822</v>
      </c>
      <c r="C454" s="469"/>
      <c r="D454" s="454"/>
      <c r="E454" s="266"/>
      <c r="F454" s="1058" t="s">
        <v>1551</v>
      </c>
      <c r="G454" s="1059"/>
      <c r="H454" s="1059"/>
      <c r="I454" s="1059"/>
      <c r="J454" s="1059"/>
      <c r="K454" s="1060"/>
      <c r="L454" s="82">
        <f>IF(OR(F454="",S454=0),0,IF(AND(S454=1,F454&lt;&gt;""),0.25))</f>
        <v>0</v>
      </c>
      <c r="M454" s="1028"/>
      <c r="N454" s="1028"/>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2:109" ht="15" customHeight="1" x14ac:dyDescent="0.3">
      <c r="B455" s="467"/>
      <c r="C455" s="39"/>
      <c r="D455" s="470"/>
      <c r="E455" s="468"/>
      <c r="F455" s="757" t="str">
        <f>IF(S454=1,"","Biceps brachii")</f>
        <v>Biceps brachii</v>
      </c>
      <c r="G455" s="758"/>
      <c r="H455" s="758"/>
      <c r="I455" s="758"/>
      <c r="J455" s="758"/>
      <c r="K455" s="759"/>
      <c r="L455" s="82">
        <f>IF(OR(F455="",S455=0),0,IF(AND(S455=1,F455&lt;&gt;""),0.25))</f>
        <v>0</v>
      </c>
      <c r="M455" s="1028"/>
      <c r="N455" s="1028"/>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2:109" ht="15" customHeight="1" x14ac:dyDescent="0.3">
      <c r="B456" s="467"/>
      <c r="C456" s="39"/>
      <c r="D456" s="470"/>
      <c r="E456" s="468"/>
      <c r="F456" s="757" t="str">
        <f>IF(S454=1,"","Coracobrachialis")</f>
        <v>Coracobrachialis</v>
      </c>
      <c r="G456" s="758"/>
      <c r="H456" s="758"/>
      <c r="I456" s="758"/>
      <c r="J456" s="758"/>
      <c r="K456" s="759"/>
      <c r="L456" s="82">
        <f>IF(OR(F456="",S456=0),0,IF(AND(S456=1,F456&lt;&gt;""),0.25))</f>
        <v>0</v>
      </c>
      <c r="M456" s="1028"/>
      <c r="N456" s="1028"/>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2:109" ht="15" customHeight="1" x14ac:dyDescent="0.3">
      <c r="B457" s="285"/>
      <c r="C457" s="183"/>
      <c r="D457" s="455"/>
      <c r="E457" s="468"/>
      <c r="F457" s="757" t="str">
        <f>IF(S454=1,"","Brachialis")</f>
        <v>Brachialis</v>
      </c>
      <c r="G457" s="758"/>
      <c r="H457" s="758"/>
      <c r="I457" s="758"/>
      <c r="J457" s="758"/>
      <c r="K457" s="759"/>
      <c r="L457" s="82">
        <f>IF(OR(F457="",S457=0),0,IF(AND(S457=1,F457&lt;&gt;""),0.25))</f>
        <v>0</v>
      </c>
      <c r="M457" s="1028"/>
      <c r="N457" s="1028"/>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2:109" ht="18" customHeight="1" x14ac:dyDescent="0.3">
      <c r="B458" s="1061" t="s">
        <v>954</v>
      </c>
      <c r="C458" s="1061"/>
      <c r="D458" s="1061"/>
      <c r="E458" s="959"/>
      <c r="F458" s="959"/>
      <c r="G458" s="959"/>
      <c r="H458" s="959"/>
      <c r="I458" s="959"/>
      <c r="J458" s="959"/>
      <c r="K458" s="959"/>
      <c r="L458" s="959"/>
      <c r="M458" s="959"/>
      <c r="N458" s="959"/>
      <c r="O458" s="959"/>
      <c r="P458" s="191">
        <f>IF(SUM(P454:P457)=0,0,AVERAGE(P454:P457))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2:109" ht="12" customHeight="1" x14ac:dyDescent="0.3">
      <c r="C459" s="2"/>
      <c r="D459" s="2"/>
      <c r="F459" s="2"/>
      <c r="H459" s="2"/>
      <c r="J459" s="2"/>
      <c r="L459" s="2"/>
      <c r="N459" s="2"/>
      <c r="R459" s="10"/>
      <c r="S459" s="98"/>
      <c r="T459" s="147" t="s">
        <v>1688</v>
      </c>
      <c r="U459" s="147" t="s">
        <v>1596</v>
      </c>
      <c r="V459" s="147" t="s">
        <v>1691</v>
      </c>
      <c r="W459" s="147" t="s">
        <v>1692</v>
      </c>
      <c r="X459" s="147"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3">
      <c r="B460" s="457" t="s">
        <v>1819</v>
      </c>
      <c r="C460" s="458"/>
      <c r="D460" s="459"/>
      <c r="E460" s="468"/>
      <c r="F460" s="1058" t="str">
        <f>IF(Z460=1,"","Overall loss at level shown")</f>
        <v/>
      </c>
      <c r="G460" s="1059"/>
      <c r="H460" s="1059"/>
      <c r="I460" s="1059"/>
      <c r="J460" s="1059"/>
      <c r="K460" s="1060"/>
      <c r="L460" s="82">
        <f>IF(OR(F460="",S460=0),0,IF(Z460=2,0.55,IF(Z460=3,0.25)))</f>
        <v>0</v>
      </c>
      <c r="M460" s="1028"/>
      <c r="N460" s="1028"/>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1</v>
      </c>
      <c r="AA460" s="1140" t="s">
        <v>513</v>
      </c>
      <c r="AB460" s="1140"/>
      <c r="AC460" s="1140"/>
      <c r="AD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3">
      <c r="B461" s="460"/>
      <c r="C461" s="461"/>
      <c r="D461" s="462"/>
      <c r="E461" s="468"/>
      <c r="F461" s="1039" t="str">
        <f>IF(AND(S460=0,Z460=2),"Triceps","")</f>
        <v/>
      </c>
      <c r="G461" s="1040"/>
      <c r="H461" s="1040"/>
      <c r="I461" s="1040"/>
      <c r="J461" s="1040"/>
      <c r="K461" s="1041"/>
      <c r="L461" s="82">
        <f>IF(OR(F461="",S461=0,$Z$460=3),0,IF($Z$460=2,0.55,0))</f>
        <v>0</v>
      </c>
      <c r="M461" s="1028"/>
      <c r="N461" s="1028"/>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A461" s="10"/>
      <c r="AB461" s="10"/>
      <c r="AC461" s="10"/>
      <c r="AD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3">
      <c r="B462" s="460"/>
      <c r="C462" s="461"/>
      <c r="D462" s="462"/>
      <c r="E462" s="468"/>
      <c r="F462" s="757" t="str">
        <f>IF(AND(S460=0,Z460=2),"Anconeus","")</f>
        <v/>
      </c>
      <c r="G462" s="758"/>
      <c r="H462" s="758"/>
      <c r="I462" s="758"/>
      <c r="J462" s="758"/>
      <c r="K462" s="759"/>
      <c r="L462" s="82">
        <f>IF(OR(F462="",S462=0,$Z$460=3),0,IF($Z$460=2,0.55,0))</f>
        <v>0</v>
      </c>
      <c r="M462" s="1028"/>
      <c r="N462" s="1028"/>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3">
      <c r="B463" s="460"/>
      <c r="C463" s="461"/>
      <c r="D463" s="462"/>
      <c r="E463" s="468"/>
      <c r="F463" s="1039" t="str">
        <f>IF(AND(S460=0,Z460=2),"Brachioradialis","")</f>
        <v/>
      </c>
      <c r="G463" s="1040"/>
      <c r="H463" s="1040"/>
      <c r="I463" s="1040"/>
      <c r="J463" s="1040"/>
      <c r="K463" s="1041"/>
      <c r="L463" s="82">
        <f>IF(OR(F463="",S463=0,$Z$460=3),0,IF($Z$460=2,0.55,0))</f>
        <v>0</v>
      </c>
      <c r="M463" s="1028"/>
      <c r="N463" s="1028"/>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3">
      <c r="B464" s="460"/>
      <c r="C464" s="461"/>
      <c r="D464" s="462"/>
      <c r="E464" s="468"/>
      <c r="F464" s="757" t="str">
        <f>IF(AND(S460=0,Z460=2),"Extensor carpi radialis longus","")</f>
        <v/>
      </c>
      <c r="G464" s="758"/>
      <c r="H464" s="758"/>
      <c r="I464" s="758"/>
      <c r="J464" s="758"/>
      <c r="K464" s="759"/>
      <c r="L464" s="82">
        <f>IF(OR(F464="",S464=0,$Z$460=3),0,IF($Z$460=2,0.55,0))</f>
        <v>0</v>
      </c>
      <c r="M464" s="1028"/>
      <c r="N464" s="1028"/>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5" customHeight="1" x14ac:dyDescent="0.3">
      <c r="B465" s="1109" t="str">
        <f>IF(P461="ERROR","ERROR: If triceps only, select 'Triceps only.'","")</f>
        <v/>
      </c>
      <c r="C465" s="1110"/>
      <c r="D465" s="1110"/>
      <c r="E465" s="1110"/>
      <c r="F465" s="1110"/>
      <c r="G465" s="1110"/>
      <c r="H465" s="1110"/>
      <c r="I465" s="1110"/>
      <c r="J465" s="1110"/>
      <c r="K465" s="1110"/>
      <c r="L465" s="1111"/>
      <c r="M465" s="1099" t="s">
        <v>954</v>
      </c>
      <c r="N465" s="1100"/>
      <c r="O465" s="1101"/>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2" customHeight="1" x14ac:dyDescent="0.3">
      <c r="C466" s="2"/>
      <c r="D466" s="2"/>
      <c r="F466" s="2"/>
      <c r="H466" s="2"/>
      <c r="J466" s="2"/>
      <c r="L466" s="2"/>
      <c r="N466" s="2"/>
      <c r="R466" s="137"/>
      <c r="S466" s="98"/>
      <c r="T466" s="147" t="s">
        <v>1688</v>
      </c>
      <c r="U466" s="147" t="s">
        <v>1596</v>
      </c>
      <c r="V466" s="147" t="s">
        <v>1691</v>
      </c>
      <c r="W466" s="147" t="s">
        <v>1692</v>
      </c>
      <c r="X466" s="147"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5" customHeight="1" x14ac:dyDescent="0.3">
      <c r="B467" s="453" t="s">
        <v>1820</v>
      </c>
      <c r="C467" s="469"/>
      <c r="D467" s="454"/>
      <c r="E467" s="468"/>
      <c r="F467" s="1058" t="str">
        <f>IF(Z470=1,"","Overall loss at level shown")</f>
        <v>Overall loss at level shown</v>
      </c>
      <c r="G467" s="1059"/>
      <c r="H467" s="1059"/>
      <c r="I467" s="1059"/>
      <c r="J467" s="1059"/>
      <c r="K467" s="1060"/>
      <c r="L467" s="82">
        <f>IF(OR(F467="",S467=0),0,0.5)</f>
        <v>0</v>
      </c>
      <c r="M467" s="1028"/>
      <c r="N467" s="1028"/>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5" customHeight="1" x14ac:dyDescent="0.3">
      <c r="B468" s="467" t="s">
        <v>1821</v>
      </c>
      <c r="C468" s="39"/>
      <c r="D468" s="470"/>
      <c r="E468" s="468"/>
      <c r="F468" s="1039" t="str">
        <f>IF($S$467=1,"","Extensor carpi radialis brevis")</f>
        <v>Extensor carpi radialis brevis</v>
      </c>
      <c r="G468" s="1040"/>
      <c r="H468" s="1040"/>
      <c r="I468" s="1040"/>
      <c r="J468" s="1040"/>
      <c r="K468" s="1041"/>
      <c r="L468" s="82">
        <f>IF(OR(F468="",S468=0),0,0.5)</f>
        <v>0</v>
      </c>
      <c r="M468" s="1028"/>
      <c r="N468" s="1028"/>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3">
      <c r="B469" s="467" t="s">
        <v>1823</v>
      </c>
      <c r="C469" s="39"/>
      <c r="D469" s="470"/>
      <c r="E469" s="468"/>
      <c r="F469" s="1039" t="str">
        <f>IF($S$467=1,"","Supinator longus")</f>
        <v>Supinator longus</v>
      </c>
      <c r="G469" s="1040"/>
      <c r="H469" s="1040"/>
      <c r="I469" s="1040"/>
      <c r="J469" s="1040"/>
      <c r="K469" s="1041"/>
      <c r="L469" s="82">
        <f t="shared" ref="L469:L476" si="63">IF(OR(F469="",S469=0),0,0.5)</f>
        <v>0</v>
      </c>
      <c r="M469" s="1028"/>
      <c r="N469" s="1028"/>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5" customHeight="1" x14ac:dyDescent="0.3">
      <c r="B470" s="467"/>
      <c r="C470" s="39"/>
      <c r="D470" s="470"/>
      <c r="E470" s="468"/>
      <c r="F470" s="1039" t="str">
        <f>IF($S$467=1,"","Extensor digitorum communis")</f>
        <v>Extensor digitorum communis</v>
      </c>
      <c r="G470" s="1040"/>
      <c r="H470" s="1040"/>
      <c r="I470" s="1040"/>
      <c r="J470" s="1040"/>
      <c r="K470" s="1041"/>
      <c r="L470" s="82">
        <f t="shared" si="63"/>
        <v>0</v>
      </c>
      <c r="M470" s="1028"/>
      <c r="N470" s="1028"/>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3">
      <c r="B471" s="467"/>
      <c r="C471" s="39"/>
      <c r="D471" s="470"/>
      <c r="E471" s="468"/>
      <c r="F471" s="1039" t="str">
        <f>IF($S$467=1,"","Extensor digiti quinti")</f>
        <v>Extensor digiti quinti</v>
      </c>
      <c r="G471" s="1040"/>
      <c r="H471" s="1040"/>
      <c r="I471" s="1040"/>
      <c r="J471" s="1040"/>
      <c r="K471" s="1041"/>
      <c r="L471" s="82">
        <f t="shared" si="63"/>
        <v>0</v>
      </c>
      <c r="M471" s="1028"/>
      <c r="N471" s="1028"/>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3">
      <c r="B472" s="467"/>
      <c r="C472" s="39"/>
      <c r="D472" s="470"/>
      <c r="E472" s="468"/>
      <c r="F472" s="1039" t="str">
        <f>IF($S$467=1,"","Extensor carpi ulnaris")</f>
        <v>Extensor carpi ulnaris</v>
      </c>
      <c r="G472" s="1040"/>
      <c r="H472" s="1040"/>
      <c r="I472" s="1040"/>
      <c r="J472" s="1040"/>
      <c r="K472" s="1041"/>
      <c r="L472" s="82">
        <f t="shared" si="63"/>
        <v>0</v>
      </c>
      <c r="M472" s="1028"/>
      <c r="N472" s="1028"/>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3">
      <c r="B473" s="467"/>
      <c r="C473" s="39"/>
      <c r="D473" s="470"/>
      <c r="E473" s="468"/>
      <c r="F473" s="1039" t="str">
        <f>IF($S$467=1,"","Abductor pollicis longus")</f>
        <v>Abductor pollicis longus</v>
      </c>
      <c r="G473" s="1040"/>
      <c r="H473" s="1040"/>
      <c r="I473" s="1040"/>
      <c r="J473" s="1040"/>
      <c r="K473" s="1041"/>
      <c r="L473" s="82">
        <f t="shared" si="63"/>
        <v>0</v>
      </c>
      <c r="M473" s="1028"/>
      <c r="N473" s="1028"/>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3">
      <c r="B474" s="467"/>
      <c r="C474" s="39"/>
      <c r="D474" s="470"/>
      <c r="E474" s="468"/>
      <c r="F474" s="771" t="str">
        <f>IF($S$467=1,"","Extensor pollicis longus")</f>
        <v>Extensor pollicis longus</v>
      </c>
      <c r="G474" s="772"/>
      <c r="H474" s="772"/>
      <c r="I474" s="772"/>
      <c r="J474" s="772"/>
      <c r="K474" s="773"/>
      <c r="L474" s="82">
        <f t="shared" si="63"/>
        <v>0</v>
      </c>
      <c r="M474" s="1028"/>
      <c r="N474" s="1028"/>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3">
      <c r="B475" s="467"/>
      <c r="C475" s="39"/>
      <c r="D475" s="470"/>
      <c r="E475" s="468"/>
      <c r="F475" s="757" t="str">
        <f>IF($S$467=1,"","Extensor pollicis brevis")</f>
        <v>Extensor pollicis brevis</v>
      </c>
      <c r="G475" s="758"/>
      <c r="H475" s="758"/>
      <c r="I475" s="758"/>
      <c r="J475" s="758"/>
      <c r="K475" s="759"/>
      <c r="L475" s="82">
        <f t="shared" si="63"/>
        <v>0</v>
      </c>
      <c r="M475" s="1028"/>
      <c r="N475" s="1028"/>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3">
      <c r="B476" s="285"/>
      <c r="C476" s="183"/>
      <c r="D476" s="455"/>
      <c r="E476" s="468"/>
      <c r="F476" s="1039" t="str">
        <f>IF($S$467=1,"","Extensor indicis proprius")</f>
        <v>Extensor indicis proprius</v>
      </c>
      <c r="G476" s="1040"/>
      <c r="H476" s="1040"/>
      <c r="I476" s="1040"/>
      <c r="J476" s="1040"/>
      <c r="K476" s="1041"/>
      <c r="L476" s="82">
        <f t="shared" si="63"/>
        <v>0</v>
      </c>
      <c r="M476" s="1028"/>
      <c r="N476" s="1028"/>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3">
      <c r="B477" s="1057" t="s">
        <v>955</v>
      </c>
      <c r="C477" s="1057"/>
      <c r="D477" s="1057"/>
      <c r="E477" s="958"/>
      <c r="F477" s="958"/>
      <c r="G477" s="958"/>
      <c r="H477" s="958"/>
      <c r="I477" s="958"/>
      <c r="J477" s="958"/>
      <c r="K477" s="958"/>
      <c r="L477" s="958"/>
      <c r="M477" s="958"/>
      <c r="N477" s="958"/>
      <c r="O477" s="958"/>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2" customHeight="1" x14ac:dyDescent="0.3">
      <c r="C478" s="2"/>
      <c r="D478" s="2"/>
      <c r="F478" s="2"/>
      <c r="H478" s="2"/>
      <c r="J478" s="2"/>
      <c r="L478" s="2"/>
      <c r="N478" s="2"/>
      <c r="R478" s="129"/>
      <c r="S478" s="98"/>
      <c r="T478" s="147" t="s">
        <v>1688</v>
      </c>
      <c r="U478" s="147" t="s">
        <v>1596</v>
      </c>
      <c r="V478" s="147" t="s">
        <v>1691</v>
      </c>
      <c r="W478" s="147" t="s">
        <v>1692</v>
      </c>
      <c r="X478" s="147"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3">
      <c r="B479" s="457" t="s">
        <v>514</v>
      </c>
      <c r="C479" s="458"/>
      <c r="D479" s="459"/>
      <c r="E479" s="468"/>
      <c r="F479" s="1058" t="str">
        <f>IF(Z482=1,"","Overall loss at level shown")</f>
        <v/>
      </c>
      <c r="G479" s="1059"/>
      <c r="H479" s="1059"/>
      <c r="I479" s="1059"/>
      <c r="J479" s="1059"/>
      <c r="K479" s="1060"/>
      <c r="L479" s="82">
        <f>IF(OR(F479="",$S$479=0),0,IF($Z$482=2,0.69,IF($Z$482=3,0.44,0)))</f>
        <v>0</v>
      </c>
      <c r="M479" s="1028"/>
      <c r="N479" s="1028"/>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3">
      <c r="B480" s="460"/>
      <c r="C480" s="461"/>
      <c r="D480" s="462"/>
      <c r="E480" s="468"/>
      <c r="F480" s="1039" t="str">
        <f>IF(OR($Z$482=1,$S$479=1),"","Pronator teres")</f>
        <v/>
      </c>
      <c r="G480" s="1040"/>
      <c r="H480" s="1040"/>
      <c r="I480" s="1040"/>
      <c r="J480" s="1040"/>
      <c r="K480" s="1041"/>
      <c r="L480" s="82">
        <f t="shared" ref="L480:L491" si="70">IF(OR(F480="",S480=0,$S$479=1),0,IF($Z$482=2,0.69,IF($Z$482=3,0.44,0)))</f>
        <v>0</v>
      </c>
      <c r="M480" s="1028"/>
      <c r="N480" s="1028"/>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3">
      <c r="B481" s="460"/>
      <c r="C481" s="461"/>
      <c r="D481" s="462"/>
      <c r="E481" s="468"/>
      <c r="F481" s="757" t="str">
        <f>IF(OR($Z$482=1,$S$479=1),"","Flexor carpi radialis")</f>
        <v/>
      </c>
      <c r="G481" s="758"/>
      <c r="H481" s="758"/>
      <c r="I481" s="758"/>
      <c r="J481" s="758"/>
      <c r="K481" s="759"/>
      <c r="L481" s="82">
        <f t="shared" si="70"/>
        <v>0</v>
      </c>
      <c r="M481" s="1028"/>
      <c r="N481" s="1028"/>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5" customHeight="1" x14ac:dyDescent="0.3">
      <c r="B482" s="460"/>
      <c r="C482" s="461"/>
      <c r="D482" s="462"/>
      <c r="E482" s="468"/>
      <c r="F482" s="1039" t="str">
        <f>IF(OR($Z$482=1,$S$479=1),"","Palmaris longus")</f>
        <v/>
      </c>
      <c r="G482" s="1040"/>
      <c r="H482" s="1040"/>
      <c r="I482" s="1040"/>
      <c r="J482" s="1040"/>
      <c r="K482" s="1041"/>
      <c r="L482" s="82">
        <f t="shared" si="70"/>
        <v>0</v>
      </c>
      <c r="M482" s="1028"/>
      <c r="N482" s="1028"/>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U482" s="10"/>
      <c r="AV482" s="14"/>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3">
      <c r="B483" s="460"/>
      <c r="C483" s="461"/>
      <c r="D483" s="462"/>
      <c r="E483" s="468"/>
      <c r="F483" s="757" t="str">
        <f>IF(OR($Z$482=1,$S$479=1),"","Flexor digitorum sublimis")</f>
        <v/>
      </c>
      <c r="G483" s="758"/>
      <c r="H483" s="758"/>
      <c r="I483" s="758"/>
      <c r="J483" s="758"/>
      <c r="K483" s="759"/>
      <c r="L483" s="82">
        <f t="shared" si="70"/>
        <v>0</v>
      </c>
      <c r="M483" s="1028"/>
      <c r="N483" s="1028"/>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3">
      <c r="B484" s="460"/>
      <c r="C484" s="461"/>
      <c r="D484" s="462"/>
      <c r="E484" s="468"/>
      <c r="F484" s="1039" t="str">
        <f>IF(OR($Z$482=1,$S$479=1),"","Flexor digitorum profundus")</f>
        <v/>
      </c>
      <c r="G484" s="1040"/>
      <c r="H484" s="1040"/>
      <c r="I484" s="1040"/>
      <c r="J484" s="1040"/>
      <c r="K484" s="1041"/>
      <c r="L484" s="82">
        <f t="shared" si="70"/>
        <v>0</v>
      </c>
      <c r="M484" s="1028"/>
      <c r="N484" s="1028"/>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3">
      <c r="B485" s="460"/>
      <c r="C485" s="461"/>
      <c r="D485" s="462"/>
      <c r="E485" s="468"/>
      <c r="F485" s="1039" t="str">
        <f>IF(OR($Z$482=1,$S$479=1),"","Flexor pollicis longus")</f>
        <v/>
      </c>
      <c r="G485" s="1040"/>
      <c r="H485" s="1040"/>
      <c r="I485" s="1040"/>
      <c r="J485" s="1040"/>
      <c r="K485" s="1041"/>
      <c r="L485" s="82">
        <f t="shared" si="70"/>
        <v>0</v>
      </c>
      <c r="M485" s="1028"/>
      <c r="N485" s="1028"/>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3">
      <c r="B486" s="460"/>
      <c r="C486" s="461"/>
      <c r="D486" s="462"/>
      <c r="E486" s="468"/>
      <c r="F486" s="1039" t="str">
        <f>IF(OR($Z$482=1,$S$479=1),"","Pronator quadratus")</f>
        <v/>
      </c>
      <c r="G486" s="1040"/>
      <c r="H486" s="1040"/>
      <c r="I486" s="1040"/>
      <c r="J486" s="1040"/>
      <c r="K486" s="1041"/>
      <c r="L486" s="82">
        <f t="shared" si="70"/>
        <v>0</v>
      </c>
      <c r="M486" s="1028"/>
      <c r="N486" s="1028"/>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3">
      <c r="B487" s="460"/>
      <c r="C487" s="461"/>
      <c r="D487" s="462"/>
      <c r="E487" s="468"/>
      <c r="F487" s="1039" t="str">
        <f>IF(OR($Z$482=1,$S$479=1),"","Abductor pollicis brevis")</f>
        <v/>
      </c>
      <c r="G487" s="1040"/>
      <c r="H487" s="1040"/>
      <c r="I487" s="1040"/>
      <c r="J487" s="1040"/>
      <c r="K487" s="1041"/>
      <c r="L487" s="82">
        <f t="shared" si="70"/>
        <v>0</v>
      </c>
      <c r="M487" s="1028"/>
      <c r="N487" s="1028"/>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3">
      <c r="B488" s="460"/>
      <c r="C488" s="461"/>
      <c r="D488" s="462"/>
      <c r="E488" s="468"/>
      <c r="F488" s="1039" t="str">
        <f>IF(OR($Z$482=1,$S$479=1),"","Opponens pollicis")</f>
        <v/>
      </c>
      <c r="G488" s="1040"/>
      <c r="H488" s="1040"/>
      <c r="I488" s="1040"/>
      <c r="J488" s="1040"/>
      <c r="K488" s="1041"/>
      <c r="L488" s="82">
        <f t="shared" si="70"/>
        <v>0</v>
      </c>
      <c r="M488" s="1028"/>
      <c r="N488" s="1028"/>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3">
      <c r="B489" s="460"/>
      <c r="C489" s="461"/>
      <c r="D489" s="462"/>
      <c r="E489" s="468"/>
      <c r="F489" s="1039" t="str">
        <f>IF(OR($Z$482=1,$S$479=1),"","Flexor pollicis brevis")</f>
        <v/>
      </c>
      <c r="G489" s="1040"/>
      <c r="H489" s="1040"/>
      <c r="I489" s="1040"/>
      <c r="J489" s="1040"/>
      <c r="K489" s="1041"/>
      <c r="L489" s="82">
        <f t="shared" si="70"/>
        <v>0</v>
      </c>
      <c r="M489" s="1028"/>
      <c r="N489" s="1028"/>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3">
      <c r="B490" s="460"/>
      <c r="C490" s="461"/>
      <c r="D490" s="462"/>
      <c r="E490" s="468"/>
      <c r="F490" s="771" t="str">
        <f>IF(OR($Z$482=1,$S$479=1),"","Lumbricales I")</f>
        <v/>
      </c>
      <c r="G490" s="772"/>
      <c r="H490" s="772"/>
      <c r="I490" s="772"/>
      <c r="J490" s="772"/>
      <c r="K490" s="773"/>
      <c r="L490" s="82">
        <f t="shared" si="70"/>
        <v>0</v>
      </c>
      <c r="M490" s="1028"/>
      <c r="N490" s="1028"/>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3">
      <c r="B491" s="463"/>
      <c r="C491" s="464"/>
      <c r="D491" s="465"/>
      <c r="E491" s="468"/>
      <c r="F491" s="757" t="str">
        <f>IF(OR($Z$482=1,$S$479=1),"","Lumbricales II")</f>
        <v/>
      </c>
      <c r="G491" s="758"/>
      <c r="H491" s="758"/>
      <c r="I491" s="758"/>
      <c r="J491" s="758"/>
      <c r="K491" s="759"/>
      <c r="L491" s="82">
        <f t="shared" si="70"/>
        <v>0</v>
      </c>
      <c r="M491" s="1028"/>
      <c r="N491" s="1028"/>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3">
      <c r="B492" s="1061" t="s">
        <v>955</v>
      </c>
      <c r="C492" s="1061"/>
      <c r="D492" s="1061"/>
      <c r="E492" s="959"/>
      <c r="F492" s="959"/>
      <c r="G492" s="959"/>
      <c r="H492" s="959"/>
      <c r="I492" s="959"/>
      <c r="J492" s="959"/>
      <c r="K492" s="959"/>
      <c r="L492" s="959"/>
      <c r="M492" s="959"/>
      <c r="N492" s="959"/>
      <c r="O492" s="959"/>
      <c r="P492" s="191">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6" customHeight="1" x14ac:dyDescent="0.3">
      <c r="B493" s="792"/>
      <c r="C493" s="792"/>
      <c r="D493" s="792"/>
      <c r="E493" s="792"/>
      <c r="F493" s="792"/>
      <c r="G493" s="792"/>
      <c r="H493" s="792"/>
      <c r="I493" s="792"/>
      <c r="J493" s="792"/>
      <c r="K493" s="792"/>
      <c r="L493" s="792"/>
      <c r="M493" s="792"/>
      <c r="N493" s="792"/>
      <c r="O493" s="792"/>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3">
      <c r="B494" s="792"/>
      <c r="C494" s="792"/>
      <c r="D494" s="792"/>
      <c r="E494" s="1102"/>
      <c r="F494" s="1102"/>
      <c r="G494" s="1102"/>
      <c r="H494" s="1102"/>
      <c r="I494" s="1102"/>
      <c r="J494" s="1102"/>
      <c r="K494" s="1102"/>
      <c r="L494" s="1102"/>
      <c r="M494" s="1102"/>
      <c r="N494" s="1102"/>
      <c r="O494" s="1102"/>
      <c r="P494" s="90"/>
      <c r="R494" s="10"/>
      <c r="S494" s="98"/>
      <c r="T494" s="147" t="s">
        <v>1688</v>
      </c>
      <c r="U494" s="147" t="s">
        <v>1596</v>
      </c>
      <c r="V494" s="147" t="s">
        <v>1691</v>
      </c>
      <c r="W494" s="147" t="s">
        <v>1692</v>
      </c>
      <c r="X494" s="147" t="s">
        <v>1693</v>
      </c>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3">
      <c r="B495" s="457" t="s">
        <v>81</v>
      </c>
      <c r="C495" s="458"/>
      <c r="D495" s="459"/>
      <c r="E495" s="466"/>
      <c r="F495" s="806" t="str">
        <f>IF(Z497=1,"","Overall loss at level shown")</f>
        <v/>
      </c>
      <c r="G495" s="806"/>
      <c r="H495" s="806"/>
      <c r="I495" s="806"/>
      <c r="J495" s="806"/>
      <c r="K495" s="806"/>
      <c r="L495" s="82">
        <f>IF(OR(F495="",S495=0),0,IF($Z$497=2,0.44,IF($Z$497=3,0.31,0)))</f>
        <v>0</v>
      </c>
      <c r="M495" s="1028"/>
      <c r="N495" s="1028"/>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3">
      <c r="B496" s="460"/>
      <c r="C496" s="461"/>
      <c r="D496" s="462"/>
      <c r="E496" s="466"/>
      <c r="F496" s="806" t="str">
        <f>IF(OR($Z$497=1,$S$495=1),"","Flexor carpi ulnaris")</f>
        <v/>
      </c>
      <c r="G496" s="806"/>
      <c r="H496" s="806"/>
      <c r="I496" s="806"/>
      <c r="J496" s="806"/>
      <c r="K496" s="806"/>
      <c r="L496" s="82">
        <f t="shared" ref="L496:L505" si="78">IF(OR(F496="",S496=0,$S$495=1),0,IF($Z$497=2,0.44,IF($Z$497=3,0.31,0)))</f>
        <v>0</v>
      </c>
      <c r="M496" s="1028"/>
      <c r="N496" s="1028"/>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27" customHeight="1" x14ac:dyDescent="0.3">
      <c r="B497" s="460"/>
      <c r="C497" s="461"/>
      <c r="D497" s="462"/>
      <c r="E497" s="466"/>
      <c r="F497" s="776" t="str">
        <f>IF(OR($Z$497=1,$S$495=1),"","Flexor digitorum profundus (medial half)")</f>
        <v/>
      </c>
      <c r="G497" s="776"/>
      <c r="H497" s="776"/>
      <c r="I497" s="776"/>
      <c r="J497" s="776"/>
      <c r="K497" s="776"/>
      <c r="L497" s="82">
        <f t="shared" si="78"/>
        <v>0</v>
      </c>
      <c r="M497" s="1028"/>
      <c r="N497" s="1028"/>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3">
      <c r="B498" s="460"/>
      <c r="C498" s="461"/>
      <c r="D498" s="462"/>
      <c r="E498" s="466"/>
      <c r="F498" s="806" t="str">
        <f>IF(OR($Z$497=1,$S$495=1),"","Flexor digiti quinti brevis")</f>
        <v/>
      </c>
      <c r="G498" s="806"/>
      <c r="H498" s="806"/>
      <c r="I498" s="806"/>
      <c r="J498" s="806"/>
      <c r="K498" s="806"/>
      <c r="L498" s="82">
        <f t="shared" si="78"/>
        <v>0</v>
      </c>
      <c r="M498" s="1028"/>
      <c r="N498" s="1028"/>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3">
      <c r="B499" s="460"/>
      <c r="C499" s="461"/>
      <c r="D499" s="462"/>
      <c r="E499" s="466"/>
      <c r="F499" s="806" t="str">
        <f>IF(OR($Z$497=1,$S$495=1),"","Abductor digiti quinti")</f>
        <v/>
      </c>
      <c r="G499" s="806"/>
      <c r="H499" s="806"/>
      <c r="I499" s="806"/>
      <c r="J499" s="806"/>
      <c r="K499" s="806"/>
      <c r="L499" s="82">
        <f t="shared" si="78"/>
        <v>0</v>
      </c>
      <c r="M499" s="1028"/>
      <c r="N499" s="1028"/>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3">
      <c r="B500" s="460"/>
      <c r="C500" s="461"/>
      <c r="D500" s="462"/>
      <c r="E500" s="466"/>
      <c r="F500" s="806" t="str">
        <f>IF(OR($Z$497=1,$S$495=1),"","Opponens digiti quinti")</f>
        <v/>
      </c>
      <c r="G500" s="806"/>
      <c r="H500" s="806"/>
      <c r="I500" s="806"/>
      <c r="J500" s="806"/>
      <c r="K500" s="806"/>
      <c r="L500" s="82">
        <f t="shared" si="78"/>
        <v>0</v>
      </c>
      <c r="M500" s="1028"/>
      <c r="N500" s="1028"/>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15" customHeight="1" x14ac:dyDescent="0.3">
      <c r="B501" s="460"/>
      <c r="C501" s="461"/>
      <c r="D501" s="462"/>
      <c r="E501" s="466"/>
      <c r="F501" s="806" t="str">
        <f>IF(OR($Z$497=1,$S$495=1),"","Interossei")</f>
        <v/>
      </c>
      <c r="G501" s="806"/>
      <c r="H501" s="806"/>
      <c r="I501" s="806"/>
      <c r="J501" s="806"/>
      <c r="K501" s="806"/>
      <c r="L501" s="82">
        <f t="shared" si="78"/>
        <v>0</v>
      </c>
      <c r="M501" s="1028"/>
      <c r="N501" s="1028"/>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3">
      <c r="B502" s="460"/>
      <c r="C502" s="461"/>
      <c r="D502" s="462"/>
      <c r="E502" s="471"/>
      <c r="F502" s="806" t="str">
        <f>IF(OR($Z$497=1,$S$495=1),"","Lumbricales III")</f>
        <v/>
      </c>
      <c r="G502" s="806"/>
      <c r="H502" s="806"/>
      <c r="I502" s="806"/>
      <c r="J502" s="806"/>
      <c r="K502" s="806"/>
      <c r="L502" s="82">
        <f t="shared" si="78"/>
        <v>0</v>
      </c>
      <c r="M502" s="1028"/>
      <c r="N502" s="1028"/>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3">
      <c r="B503" s="460"/>
      <c r="C503" s="461"/>
      <c r="D503" s="462"/>
      <c r="E503" s="466"/>
      <c r="F503" s="806" t="str">
        <f>IF(OR($Z$497=1,$S$495=1),"","Lumbricales IV")</f>
        <v/>
      </c>
      <c r="G503" s="806"/>
      <c r="H503" s="806"/>
      <c r="I503" s="806"/>
      <c r="J503" s="806"/>
      <c r="K503" s="806"/>
      <c r="L503" s="82">
        <f t="shared" si="78"/>
        <v>0</v>
      </c>
      <c r="M503" s="1028"/>
      <c r="N503" s="1028"/>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3">
      <c r="B504" s="460"/>
      <c r="C504" s="461"/>
      <c r="D504" s="462"/>
      <c r="E504" s="466"/>
      <c r="F504" s="806" t="str">
        <f>IF(OR($Z$497=1,$S$495=1),"","Adductor pollicis")</f>
        <v/>
      </c>
      <c r="G504" s="806"/>
      <c r="H504" s="806"/>
      <c r="I504" s="806"/>
      <c r="J504" s="806"/>
      <c r="K504" s="806"/>
      <c r="L504" s="82">
        <f t="shared" si="78"/>
        <v>0</v>
      </c>
      <c r="M504" s="1028"/>
      <c r="N504" s="1028"/>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27" customHeight="1" x14ac:dyDescent="0.3">
      <c r="B505" s="463"/>
      <c r="C505" s="464"/>
      <c r="D505" s="465"/>
      <c r="E505" s="466"/>
      <c r="F505" s="776" t="str">
        <f>IF(OR($Z$497=1,$S$495=1),"","Flexor pollicis brevis 
(deep part)")</f>
        <v/>
      </c>
      <c r="G505" s="776"/>
      <c r="H505" s="776"/>
      <c r="I505" s="776"/>
      <c r="J505" s="776"/>
      <c r="K505" s="776"/>
      <c r="L505" s="82">
        <f t="shared" si="78"/>
        <v>0</v>
      </c>
      <c r="M505" s="1028"/>
      <c r="N505" s="1028"/>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3">
      <c r="B506" s="959" t="s">
        <v>955</v>
      </c>
      <c r="C506" s="959"/>
      <c r="D506" s="959"/>
      <c r="E506" s="959"/>
      <c r="F506" s="959"/>
      <c r="G506" s="959"/>
      <c r="H506" s="959"/>
      <c r="I506" s="959"/>
      <c r="J506" s="959"/>
      <c r="K506" s="959"/>
      <c r="L506" s="959"/>
      <c r="M506" s="959"/>
      <c r="N506" s="959"/>
      <c r="O506" s="959"/>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2" customHeight="1" x14ac:dyDescent="0.3">
      <c r="C507" s="2"/>
      <c r="D507" s="2"/>
      <c r="F507" s="2"/>
      <c r="H507" s="2"/>
      <c r="J507" s="2"/>
      <c r="L507" s="2"/>
      <c r="N507" s="2"/>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8" customHeight="1" x14ac:dyDescent="0.3">
      <c r="B508" s="959" t="s">
        <v>956</v>
      </c>
      <c r="C508" s="959"/>
      <c r="D508" s="959"/>
      <c r="E508" s="959"/>
      <c r="F508" s="959"/>
      <c r="G508" s="959"/>
      <c r="H508" s="959"/>
      <c r="I508" s="959"/>
      <c r="J508" s="959"/>
      <c r="K508" s="959"/>
      <c r="L508" s="959"/>
      <c r="M508" s="959"/>
      <c r="N508" s="959"/>
      <c r="O508" s="959"/>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12" customHeight="1" x14ac:dyDescent="0.3">
      <c r="C509" s="2"/>
      <c r="D509" s="2"/>
      <c r="F509" s="2"/>
      <c r="H509" s="2"/>
      <c r="J509" s="2"/>
      <c r="L509" s="2"/>
      <c r="N509" s="2"/>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8" customHeight="1" x14ac:dyDescent="0.3">
      <c r="B510" s="959" t="s">
        <v>1279</v>
      </c>
      <c r="C510" s="959"/>
      <c r="D510" s="959"/>
      <c r="E510" s="959"/>
      <c r="F510" s="959"/>
      <c r="G510" s="959"/>
      <c r="H510" s="959"/>
      <c r="I510" s="959"/>
      <c r="J510" s="959"/>
      <c r="K510" s="959"/>
      <c r="L510" s="959"/>
      <c r="M510" s="959"/>
      <c r="N510" s="959"/>
      <c r="O510" s="959"/>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3">
      <c r="B511" s="792"/>
      <c r="C511" s="792"/>
      <c r="D511" s="792"/>
      <c r="E511" s="792"/>
      <c r="F511" s="792"/>
      <c r="G511" s="792"/>
      <c r="H511" s="792"/>
      <c r="I511" s="792"/>
      <c r="J511" s="792"/>
      <c r="K511" s="792"/>
      <c r="L511" s="792"/>
      <c r="M511" s="792"/>
      <c r="N511" s="792"/>
      <c r="O511" s="792"/>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3">
      <c r="B512" s="927" t="s">
        <v>1280</v>
      </c>
      <c r="C512" s="925"/>
      <c r="D512" s="925"/>
      <c r="E512" s="925"/>
      <c r="F512" s="925"/>
      <c r="G512" s="925"/>
      <c r="H512" s="925"/>
      <c r="I512" s="925"/>
      <c r="J512" s="925"/>
      <c r="K512" s="925"/>
      <c r="L512" s="925"/>
      <c r="M512" s="925"/>
      <c r="N512" s="925"/>
      <c r="O512" s="925"/>
      <c r="P512" s="845"/>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40.5" customHeight="1" x14ac:dyDescent="0.3">
      <c r="B513" s="776" t="s">
        <v>773</v>
      </c>
      <c r="C513" s="776"/>
      <c r="D513" s="776"/>
      <c r="E513" s="776"/>
      <c r="F513" s="776"/>
      <c r="G513" s="776"/>
      <c r="H513" s="776"/>
      <c r="I513" s="776"/>
      <c r="J513" s="776"/>
      <c r="K513" s="776"/>
      <c r="L513" s="776"/>
      <c r="M513" s="776"/>
      <c r="N513" s="776"/>
      <c r="O513" s="776"/>
      <c r="P513" s="847"/>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9.5" customHeight="1" x14ac:dyDescent="0.3">
      <c r="A514" s="15"/>
      <c r="B514" s="806" t="s">
        <v>948</v>
      </c>
      <c r="C514" s="806"/>
      <c r="D514" s="806"/>
      <c r="E514" s="806"/>
      <c r="F514" s="806"/>
      <c r="G514" s="806"/>
      <c r="H514" s="806"/>
      <c r="I514" s="806"/>
      <c r="J514" s="806"/>
      <c r="K514" s="806"/>
      <c r="L514" s="1023"/>
      <c r="M514" s="1023"/>
      <c r="N514" s="1023"/>
      <c r="O514" s="1023"/>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3">
      <c r="B515" s="792"/>
      <c r="C515" s="792"/>
      <c r="D515" s="792"/>
      <c r="E515" s="792"/>
      <c r="F515" s="792"/>
      <c r="G515" s="792"/>
      <c r="H515" s="792"/>
      <c r="I515" s="792"/>
      <c r="J515" s="792"/>
      <c r="K515" s="792"/>
      <c r="L515" s="792"/>
      <c r="M515" s="792"/>
      <c r="N515" s="792"/>
      <c r="O515" s="792"/>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3">
      <c r="B516" s="925" t="s">
        <v>888</v>
      </c>
      <c r="C516" s="925"/>
      <c r="D516" s="925"/>
      <c r="E516" s="925"/>
      <c r="F516" s="925"/>
      <c r="G516" s="925"/>
      <c r="H516" s="925"/>
      <c r="I516" s="925"/>
      <c r="J516" s="925"/>
      <c r="K516" s="925"/>
      <c r="L516" s="925"/>
      <c r="M516" s="925"/>
      <c r="N516" s="925"/>
      <c r="O516" s="925"/>
      <c r="P516" s="925"/>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51" customHeight="1" x14ac:dyDescent="0.3">
      <c r="B517" s="776" t="s">
        <v>766</v>
      </c>
      <c r="C517" s="776"/>
      <c r="D517" s="776"/>
      <c r="E517" s="776"/>
      <c r="F517" s="776"/>
      <c r="G517" s="776"/>
      <c r="H517" s="776"/>
      <c r="I517" s="776"/>
      <c r="J517" s="776"/>
      <c r="K517" s="776"/>
      <c r="L517" s="776"/>
      <c r="M517" s="776"/>
      <c r="N517" s="776"/>
      <c r="O517" s="776"/>
      <c r="P517" s="925"/>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5" customHeight="1" x14ac:dyDescent="0.3">
      <c r="B518" s="50" t="s">
        <v>1573</v>
      </c>
      <c r="C518" s="770">
        <f>P60</f>
        <v>0</v>
      </c>
      <c r="D518" s="746"/>
      <c r="E518" s="746"/>
      <c r="F518" s="925" t="s">
        <v>1164</v>
      </c>
      <c r="G518" s="925"/>
      <c r="H518" s="925"/>
      <c r="I518" s="925"/>
      <c r="J518" s="925"/>
      <c r="K518" s="925"/>
      <c r="L518" s="936">
        <f>UETable!AV90</f>
        <v>0</v>
      </c>
      <c r="M518" s="936"/>
      <c r="N518" s="925" t="s">
        <v>1655</v>
      </c>
      <c r="O518" s="925"/>
      <c r="P518" s="770">
        <f>IF(OR(B524=Y518,B524=Y519,B524=Y520),0,SUM(L518:M522))</f>
        <v>0</v>
      </c>
      <c r="R518" s="50">
        <f>X61</f>
        <v>0</v>
      </c>
      <c r="S518" s="50">
        <f>IF(SUM(E528:E552)&gt;0,1,IF(SUM(E595:E607)&gt;0,1,0))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5" customHeight="1" x14ac:dyDescent="0.3">
      <c r="B519" s="50" t="s">
        <v>146</v>
      </c>
      <c r="C519" s="770">
        <f>P137</f>
        <v>0</v>
      </c>
      <c r="D519" s="746"/>
      <c r="E519" s="746"/>
      <c r="F519" s="925" t="s">
        <v>1164</v>
      </c>
      <c r="G519" s="925"/>
      <c r="H519" s="925"/>
      <c r="I519" s="925"/>
      <c r="J519" s="925"/>
      <c r="K519" s="925"/>
      <c r="L519" s="936">
        <f>UETable!AV91</f>
        <v>0</v>
      </c>
      <c r="M519" s="936"/>
      <c r="N519" s="925" t="s">
        <v>1655</v>
      </c>
      <c r="O519" s="925"/>
      <c r="P519" s="746"/>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5" customHeight="1" x14ac:dyDescent="0.3">
      <c r="B520" s="50" t="s">
        <v>1566</v>
      </c>
      <c r="C520" s="770">
        <f>P214</f>
        <v>0</v>
      </c>
      <c r="D520" s="746"/>
      <c r="E520" s="746"/>
      <c r="F520" s="925" t="s">
        <v>1164</v>
      </c>
      <c r="G520" s="925"/>
      <c r="H520" s="925"/>
      <c r="I520" s="925"/>
      <c r="J520" s="925"/>
      <c r="K520" s="925"/>
      <c r="L520" s="936">
        <f>UETable!AV92</f>
        <v>0</v>
      </c>
      <c r="M520" s="936"/>
      <c r="N520" s="925" t="s">
        <v>1655</v>
      </c>
      <c r="O520" s="925"/>
      <c r="P520" s="746"/>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15" customHeight="1" x14ac:dyDescent="0.3">
      <c r="B521" s="50" t="s">
        <v>1568</v>
      </c>
      <c r="C521" s="770">
        <f>P289</f>
        <v>0</v>
      </c>
      <c r="D521" s="746"/>
      <c r="E521" s="746"/>
      <c r="F521" s="925" t="s">
        <v>1164</v>
      </c>
      <c r="G521" s="925"/>
      <c r="H521" s="925"/>
      <c r="I521" s="925"/>
      <c r="J521" s="925"/>
      <c r="K521" s="925"/>
      <c r="L521" s="936">
        <f>UETable!AV93</f>
        <v>0</v>
      </c>
      <c r="M521" s="936"/>
      <c r="N521" s="925" t="s">
        <v>1655</v>
      </c>
      <c r="O521" s="925"/>
      <c r="P521" s="746"/>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3">
      <c r="B522" s="50" t="s">
        <v>1570</v>
      </c>
      <c r="C522" s="770">
        <f>P364</f>
        <v>0</v>
      </c>
      <c r="D522" s="746"/>
      <c r="E522" s="746"/>
      <c r="F522" s="925" t="s">
        <v>1164</v>
      </c>
      <c r="G522" s="925"/>
      <c r="H522" s="925"/>
      <c r="I522" s="925"/>
      <c r="J522" s="925"/>
      <c r="K522" s="925"/>
      <c r="L522" s="936">
        <f>UETable!AV94</f>
        <v>0</v>
      </c>
      <c r="M522" s="936"/>
      <c r="N522" s="925" t="s">
        <v>1655</v>
      </c>
      <c r="O522" s="925"/>
      <c r="P522" s="746"/>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8" customHeight="1" x14ac:dyDescent="0.3">
      <c r="B523" s="959" t="s">
        <v>1735</v>
      </c>
      <c r="C523" s="959"/>
      <c r="D523" s="959"/>
      <c r="E523" s="959"/>
      <c r="F523" s="959"/>
      <c r="G523" s="959"/>
      <c r="H523" s="959"/>
      <c r="I523" s="959"/>
      <c r="J523" s="959"/>
      <c r="K523" s="959"/>
      <c r="L523" s="959"/>
      <c r="M523" s="959"/>
      <c r="N523" s="959"/>
      <c r="O523" s="959"/>
      <c r="P523" s="746"/>
      <c r="R523" s="50">
        <f>COUNTIF(R518:R522,2)</f>
        <v>0</v>
      </c>
      <c r="S523" s="18" t="s">
        <v>1744</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30" customHeight="1" x14ac:dyDescent="0.3">
      <c r="B524" s="1056" t="str">
        <f>IF(T524=0,"",IF(S518=1,Y522,IF(AND(R523=1,R524=0),Y518,IF(AND(R523=1,R524&gt;0),Y519,IF(OR(U524=2,U524=4),Y520,IF(OR(U524=1,U524=3),Y521,""))))))</f>
        <v/>
      </c>
      <c r="C524" s="1056"/>
      <c r="D524" s="1056"/>
      <c r="E524" s="1056"/>
      <c r="F524" s="1056"/>
      <c r="G524" s="1056"/>
      <c r="H524" s="1056"/>
      <c r="I524" s="1056"/>
      <c r="J524" s="1056"/>
      <c r="K524" s="1056"/>
      <c r="L524" s="1056"/>
      <c r="M524" s="1056"/>
      <c r="N524" s="1056"/>
      <c r="O524" s="1056"/>
      <c r="P524" s="1056"/>
      <c r="R524" s="50">
        <f>COUNTIF(R518:R522,1)</f>
        <v>0</v>
      </c>
      <c r="S524" s="323" t="s">
        <v>1745</v>
      </c>
      <c r="T524" s="50">
        <f>IF(SUM(C518:E522)=0,0,1)</f>
        <v>0</v>
      </c>
      <c r="U524" s="531">
        <f>IF(T524=0,0,IF(AND(R2&lt;R1,U523&gt;T523),1,IF(AND(R2&lt;R1,U523&lt;=T523),2,IF(AND(R2&gt;=R1,W518&gt;V523),3,IF(AND(R2&gt;=R1,W518&lt;=V523),4,0)))))</f>
        <v>0</v>
      </c>
      <c r="V524" s="776" t="s">
        <v>2204</v>
      </c>
      <c r="W524" s="776"/>
      <c r="X524" s="776"/>
      <c r="Y524" s="776"/>
      <c r="Z524" s="776"/>
      <c r="AA524" s="776"/>
      <c r="AB524" s="776"/>
      <c r="AC524" s="776"/>
      <c r="AD524" s="776"/>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6" customHeight="1" x14ac:dyDescent="0.3">
      <c r="B525" s="712"/>
      <c r="C525" s="712"/>
      <c r="D525" s="712"/>
      <c r="E525" s="712"/>
      <c r="F525" s="712"/>
      <c r="G525" s="712"/>
      <c r="H525" s="712"/>
      <c r="I525" s="712"/>
      <c r="J525" s="712"/>
      <c r="K525" s="712"/>
      <c r="L525" s="712"/>
      <c r="M525" s="712"/>
      <c r="N525" s="712"/>
      <c r="O525" s="712"/>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6" customHeight="1" x14ac:dyDescent="0.3">
      <c r="B526" s="712"/>
      <c r="C526" s="712"/>
      <c r="D526" s="712"/>
      <c r="E526" s="712"/>
      <c r="F526" s="712"/>
      <c r="G526" s="712"/>
      <c r="H526" s="712"/>
      <c r="I526" s="712"/>
      <c r="J526" s="712"/>
      <c r="K526" s="712"/>
      <c r="L526" s="712"/>
      <c r="M526" s="712"/>
      <c r="N526" s="712"/>
      <c r="O526" s="712"/>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27" customHeight="1" x14ac:dyDescent="0.3">
      <c r="B527" s="771" t="s">
        <v>1746</v>
      </c>
      <c r="C527" s="772"/>
      <c r="D527" s="772"/>
      <c r="E527" s="772"/>
      <c r="F527" s="773"/>
      <c r="G527" s="922" t="s">
        <v>1524</v>
      </c>
      <c r="H527" s="941"/>
      <c r="I527" s="941"/>
      <c r="J527" s="942"/>
      <c r="K527" s="1003"/>
      <c r="L527" s="1004"/>
      <c r="M527" s="1004"/>
      <c r="N527" s="1004"/>
      <c r="O527" s="1005"/>
      <c r="P527" s="872">
        <f>BV533</f>
        <v>0</v>
      </c>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26.25" customHeight="1" x14ac:dyDescent="0.3">
      <c r="B528" s="776" t="s">
        <v>1747</v>
      </c>
      <c r="C528" s="806"/>
      <c r="D528" s="806"/>
      <c r="E528" s="770">
        <f t="shared" ref="E528:E533" si="82">P385</f>
        <v>0</v>
      </c>
      <c r="F528" s="770"/>
      <c r="G528" s="925" t="s">
        <v>1941</v>
      </c>
      <c r="H528" s="925"/>
      <c r="I528" s="925"/>
      <c r="J528" s="925"/>
      <c r="K528" s="1006"/>
      <c r="L528" s="1007"/>
      <c r="M528" s="1007"/>
      <c r="N528" s="1007"/>
      <c r="O528" s="1008"/>
      <c r="P528" s="10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15.75" customHeight="1" x14ac:dyDescent="0.3">
      <c r="B529" s="806" t="s">
        <v>1748</v>
      </c>
      <c r="C529" s="806"/>
      <c r="D529" s="806"/>
      <c r="E529" s="770">
        <f t="shared" si="82"/>
        <v>0</v>
      </c>
      <c r="F529" s="770"/>
      <c r="G529" s="925" t="s">
        <v>1941</v>
      </c>
      <c r="H529" s="925"/>
      <c r="I529" s="925"/>
      <c r="J529" s="925"/>
      <c r="K529" s="1006"/>
      <c r="L529" s="1007"/>
      <c r="M529" s="1007"/>
      <c r="N529" s="1007"/>
      <c r="O529" s="1008"/>
      <c r="P529" s="10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15.75" customHeight="1" x14ac:dyDescent="0.3">
      <c r="B530" s="806" t="s">
        <v>1167</v>
      </c>
      <c r="C530" s="806"/>
      <c r="D530" s="806"/>
      <c r="E530" s="770">
        <f t="shared" si="82"/>
        <v>0</v>
      </c>
      <c r="F530" s="770"/>
      <c r="G530" s="925" t="s">
        <v>1941</v>
      </c>
      <c r="H530" s="925"/>
      <c r="I530" s="925"/>
      <c r="J530" s="925"/>
      <c r="K530" s="1006"/>
      <c r="L530" s="1007"/>
      <c r="M530" s="1007"/>
      <c r="N530" s="1007"/>
      <c r="O530" s="1008"/>
      <c r="P530" s="1010"/>
      <c r="Z530" s="10"/>
      <c r="AA530" s="10"/>
      <c r="AB530" s="10"/>
      <c r="AC530" s="10"/>
      <c r="AD530" s="10"/>
      <c r="AE530" s="10"/>
      <c r="AF530" s="10"/>
      <c r="AG530" s="10"/>
      <c r="AH530" s="10"/>
      <c r="AI530" s="10"/>
      <c r="AJ530" s="10"/>
      <c r="AK530" s="50" t="s">
        <v>1728</v>
      </c>
      <c r="AL530" s="557">
        <f>E528</f>
        <v>0</v>
      </c>
      <c r="AM530" s="557">
        <f>E529</f>
        <v>0</v>
      </c>
      <c r="AN530" s="557">
        <f>E530</f>
        <v>0</v>
      </c>
      <c r="AO530" s="557">
        <f>E531</f>
        <v>0</v>
      </c>
      <c r="AP530" s="557">
        <f>E532</f>
        <v>0</v>
      </c>
      <c r="AQ530" s="557">
        <f>E533</f>
        <v>0</v>
      </c>
      <c r="AR530" s="557">
        <f>IF(I534&gt;0,I534,E534)</f>
        <v>0</v>
      </c>
      <c r="AS530" s="557">
        <f>IF(I535&gt;0,I535,E535)</f>
        <v>0</v>
      </c>
      <c r="AT530" s="557">
        <f>IF(I536&gt;0,I536,E536)</f>
        <v>0</v>
      </c>
      <c r="AU530" s="557">
        <f>IF(I537&gt;0,I537,E537)</f>
        <v>0</v>
      </c>
      <c r="AV530" s="557">
        <f>IF(I538&gt;0,I538,E538)</f>
        <v>0</v>
      </c>
      <c r="AW530" s="557">
        <f>IF(I539&gt;0,I539,E539)</f>
        <v>0</v>
      </c>
      <c r="AX530" s="557">
        <f>E540</f>
        <v>0</v>
      </c>
      <c r="AY530" s="557">
        <f>E541</f>
        <v>0</v>
      </c>
      <c r="AZ530" s="557">
        <f>E542</f>
        <v>0</v>
      </c>
      <c r="BA530" s="557">
        <f>C543</f>
        <v>0</v>
      </c>
      <c r="BB530" s="557">
        <f>D543</f>
        <v>0</v>
      </c>
      <c r="BC530" s="557">
        <f>E543</f>
        <v>0</v>
      </c>
      <c r="BD530" s="557">
        <f>F543</f>
        <v>0</v>
      </c>
      <c r="BE530" s="557">
        <f>C544</f>
        <v>0</v>
      </c>
      <c r="BF530" s="557">
        <f>D544</f>
        <v>0</v>
      </c>
      <c r="BG530" s="557">
        <f>E544</f>
        <v>0</v>
      </c>
      <c r="BH530" s="557">
        <f>F544</f>
        <v>0</v>
      </c>
      <c r="BI530" s="557">
        <f>C545</f>
        <v>0</v>
      </c>
      <c r="BJ530" s="557">
        <f>D545</f>
        <v>0</v>
      </c>
      <c r="BK530" s="557">
        <f>E545</f>
        <v>0</v>
      </c>
      <c r="BL530" s="557">
        <f>F545</f>
        <v>0</v>
      </c>
      <c r="BM530" s="557">
        <f>C546</f>
        <v>0</v>
      </c>
      <c r="BN530" s="557">
        <f>D546</f>
        <v>0</v>
      </c>
      <c r="BO530" s="557">
        <f>E546</f>
        <v>0</v>
      </c>
      <c r="BP530" s="557">
        <f>F546</f>
        <v>0</v>
      </c>
      <c r="BQ530" s="557">
        <f>E547</f>
        <v>0</v>
      </c>
      <c r="BR530" s="557">
        <f>E548</f>
        <v>0</v>
      </c>
      <c r="BS530" s="557">
        <f>IF(I549&gt;0,I549,E549)</f>
        <v>0</v>
      </c>
      <c r="BT530" s="557">
        <f>IF(I550&gt;0,I550,E550)</f>
        <v>0</v>
      </c>
      <c r="BU530" s="557">
        <f>IF(I551&gt;0,I551,E551)</f>
        <v>0</v>
      </c>
      <c r="BV530" s="557">
        <f>IF(I552&gt;0,I552,E552)</f>
        <v>0</v>
      </c>
      <c r="BW530" s="557">
        <f>IF(I553&gt;0,I553,E553)</f>
        <v>0</v>
      </c>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15.75" customHeight="1" x14ac:dyDescent="0.3">
      <c r="B531" s="806" t="s">
        <v>1168</v>
      </c>
      <c r="C531" s="806"/>
      <c r="D531" s="806"/>
      <c r="E531" s="770">
        <f t="shared" si="82"/>
        <v>0</v>
      </c>
      <c r="F531" s="770"/>
      <c r="G531" s="925" t="s">
        <v>1941</v>
      </c>
      <c r="H531" s="925"/>
      <c r="I531" s="925"/>
      <c r="J531" s="925"/>
      <c r="K531" s="972" t="str">
        <f>IF(AND(G534&gt;0,AA534=1),"Ankylosis cannot be apportioned.",IF(AND(G535&gt;0,AA535=1),"Ankylosis cannot be apportioned.",""))</f>
        <v/>
      </c>
      <c r="L531" s="973"/>
      <c r="M531" s="973"/>
      <c r="N531" s="973"/>
      <c r="O531" s="974"/>
      <c r="P531" s="1010"/>
      <c r="S531" s="14"/>
      <c r="T531" s="96"/>
      <c r="U531" s="129"/>
      <c r="Z531" s="10"/>
      <c r="AA531" s="10"/>
      <c r="AB531" s="10"/>
      <c r="AC531" s="10"/>
      <c r="AD531" s="10"/>
      <c r="AE531" s="10"/>
      <c r="AF531" s="10"/>
      <c r="AG531" s="10"/>
      <c r="AH531" s="10"/>
      <c r="AI531" s="10"/>
      <c r="AJ531" s="10"/>
      <c r="AK531" s="50" t="s">
        <v>1729</v>
      </c>
      <c r="AL531" s="147">
        <f>LARGE($AL$530:$BW$530,1)</f>
        <v>0</v>
      </c>
      <c r="AM531" s="147">
        <f>LARGE($AL$530:$BW$530,2)</f>
        <v>0</v>
      </c>
      <c r="AN531" s="147">
        <f>LARGE($AL$530:$BW$530,3)</f>
        <v>0</v>
      </c>
      <c r="AO531" s="147">
        <f>LARGE($AL$530:$BW$530,4)</f>
        <v>0</v>
      </c>
      <c r="AP531" s="147">
        <f>LARGE($AL$530:$BW$530,5)</f>
        <v>0</v>
      </c>
      <c r="AQ531" s="147">
        <f>LARGE($AL$530:$BW$530,6)</f>
        <v>0</v>
      </c>
      <c r="AR531" s="147">
        <f>LARGE($AL$530:$BW$530,7)</f>
        <v>0</v>
      </c>
      <c r="AS531" s="147">
        <f>LARGE($AL$530:$BW$530,8)</f>
        <v>0</v>
      </c>
      <c r="AT531" s="147">
        <f>LARGE($AL$530:$BW$530,9)</f>
        <v>0</v>
      </c>
      <c r="AU531" s="147">
        <f>LARGE($AL$530:$BW$530,10)</f>
        <v>0</v>
      </c>
      <c r="AV531" s="147">
        <f>LARGE($AL$530:$BW$530,11)</f>
        <v>0</v>
      </c>
      <c r="AW531" s="147">
        <f>LARGE($AL$530:$BW$530,12)</f>
        <v>0</v>
      </c>
      <c r="AX531" s="147">
        <f>LARGE($AL$530:$BW$530,13)</f>
        <v>0</v>
      </c>
      <c r="AY531" s="147">
        <f>LARGE($AL$530:$BW$530,14)</f>
        <v>0</v>
      </c>
      <c r="AZ531" s="147">
        <f>LARGE($AL$530:$BW$530,15)</f>
        <v>0</v>
      </c>
      <c r="BA531" s="147">
        <f>LARGE($AL$530:$BW$530,16)</f>
        <v>0</v>
      </c>
      <c r="BB531" s="147">
        <f>LARGE($AL$530:$BW$530,17)</f>
        <v>0</v>
      </c>
      <c r="BC531" s="147">
        <f>LARGE($AL$530:$BW$530,18)</f>
        <v>0</v>
      </c>
      <c r="BD531" s="147">
        <f>LARGE($AL$530:$BW$530,19)</f>
        <v>0</v>
      </c>
      <c r="BE531" s="147">
        <f>LARGE($AL$530:$BW$530,20)</f>
        <v>0</v>
      </c>
      <c r="BF531" s="147">
        <f>LARGE($AL$530:$BW$530,21)</f>
        <v>0</v>
      </c>
      <c r="BG531" s="147">
        <f>LARGE($AL$530:$BW$530,22)</f>
        <v>0</v>
      </c>
      <c r="BH531" s="147">
        <f>LARGE($AL$530:$BW$530,23)</f>
        <v>0</v>
      </c>
      <c r="BI531" s="147">
        <f>LARGE($AL$530:$BW$530,24)</f>
        <v>0</v>
      </c>
      <c r="BJ531" s="147">
        <f>LARGE($AL$530:$BW$530,25)</f>
        <v>0</v>
      </c>
      <c r="BK531" s="147">
        <f>LARGE($AL$530:$BW$530,26)</f>
        <v>0</v>
      </c>
      <c r="BL531" s="147">
        <f>LARGE($AL$530:$BW$530,27)</f>
        <v>0</v>
      </c>
      <c r="BM531" s="147">
        <f>LARGE($AL$530:$BW$530,28)</f>
        <v>0</v>
      </c>
      <c r="BN531" s="147">
        <f>LARGE($AL$530:$BW$530,29)</f>
        <v>0</v>
      </c>
      <c r="BO531" s="147">
        <f>LARGE($AL$530:$BW$530,30)</f>
        <v>0</v>
      </c>
      <c r="BP531" s="147">
        <f>LARGE($AL$530:$BW$530,31)</f>
        <v>0</v>
      </c>
      <c r="BQ531" s="147">
        <f>LARGE($AL$530:$BW$530,32)</f>
        <v>0</v>
      </c>
      <c r="BR531" s="147">
        <f>LARGE($AL$530:$BW$530,33)</f>
        <v>0</v>
      </c>
      <c r="BS531" s="147">
        <f>LARGE($AL$530:$BW$530,34)</f>
        <v>0</v>
      </c>
      <c r="BT531" s="147">
        <f>LARGE($AL$530:$BW$530,35)</f>
        <v>0</v>
      </c>
      <c r="BU531" s="147">
        <f>LARGE($AL$530:$BW$530,36)</f>
        <v>0</v>
      </c>
      <c r="BV531" s="147">
        <f>LARGE($AL$530:$BW$530,37)</f>
        <v>0</v>
      </c>
      <c r="BW531" s="147">
        <f>LARGE($AL$530:$BW$530,38)</f>
        <v>0</v>
      </c>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15.75" customHeight="1" x14ac:dyDescent="0.3">
      <c r="B532" s="806" t="s">
        <v>1169</v>
      </c>
      <c r="C532" s="806"/>
      <c r="D532" s="806"/>
      <c r="E532" s="770">
        <f t="shared" si="82"/>
        <v>0</v>
      </c>
      <c r="F532" s="770"/>
      <c r="G532" s="925" t="s">
        <v>1941</v>
      </c>
      <c r="H532" s="925"/>
      <c r="I532" s="925"/>
      <c r="J532" s="925"/>
      <c r="K532" s="972"/>
      <c r="L532" s="973"/>
      <c r="M532" s="973"/>
      <c r="N532" s="973"/>
      <c r="O532" s="974"/>
      <c r="P532" s="1010"/>
      <c r="S532" s="14"/>
      <c r="T532" s="96"/>
      <c r="U532" s="129"/>
      <c r="Z532" s="10"/>
      <c r="AA532" s="10"/>
      <c r="AB532" s="10"/>
      <c r="AC532" s="10"/>
      <c r="AD532" s="10"/>
      <c r="AE532" s="10"/>
      <c r="AF532" s="10"/>
      <c r="AG532" s="10"/>
      <c r="AH532" s="10"/>
      <c r="AI532" s="10"/>
      <c r="AJ532" s="10"/>
      <c r="AK532" s="50" t="s">
        <v>1730</v>
      </c>
      <c r="AL532" s="12">
        <f>AL531+AM531*(1-AL531)</f>
        <v>0</v>
      </c>
      <c r="AM532" s="12">
        <f t="shared" ref="AM532:BV532" si="83">AL533+AN531*(1-AL533)</f>
        <v>0</v>
      </c>
      <c r="AN532" s="12">
        <f t="shared" si="83"/>
        <v>0</v>
      </c>
      <c r="AO532" s="12">
        <f t="shared" si="83"/>
        <v>0</v>
      </c>
      <c r="AP532" s="12">
        <f t="shared" si="83"/>
        <v>0</v>
      </c>
      <c r="AQ532" s="12">
        <f t="shared" si="83"/>
        <v>0</v>
      </c>
      <c r="AR532" s="12">
        <f t="shared" si="83"/>
        <v>0</v>
      </c>
      <c r="AS532" s="12">
        <f t="shared" si="83"/>
        <v>0</v>
      </c>
      <c r="AT532" s="12">
        <f t="shared" si="83"/>
        <v>0</v>
      </c>
      <c r="AU532" s="12">
        <f t="shared" si="83"/>
        <v>0</v>
      </c>
      <c r="AV532" s="12">
        <f t="shared" si="83"/>
        <v>0</v>
      </c>
      <c r="AW532" s="12">
        <f t="shared" si="83"/>
        <v>0</v>
      </c>
      <c r="AX532" s="12">
        <f t="shared" si="83"/>
        <v>0</v>
      </c>
      <c r="AY532" s="12">
        <f t="shared" si="83"/>
        <v>0</v>
      </c>
      <c r="AZ532" s="12">
        <f t="shared" si="83"/>
        <v>0</v>
      </c>
      <c r="BA532" s="12">
        <f t="shared" si="83"/>
        <v>0</v>
      </c>
      <c r="BB532" s="12">
        <f t="shared" si="83"/>
        <v>0</v>
      </c>
      <c r="BC532" s="12">
        <f t="shared" si="83"/>
        <v>0</v>
      </c>
      <c r="BD532" s="12">
        <f t="shared" si="83"/>
        <v>0</v>
      </c>
      <c r="BE532" s="12">
        <f t="shared" si="83"/>
        <v>0</v>
      </c>
      <c r="BF532" s="12">
        <f t="shared" si="83"/>
        <v>0</v>
      </c>
      <c r="BG532" s="12">
        <f t="shared" si="83"/>
        <v>0</v>
      </c>
      <c r="BH532" s="12">
        <f t="shared" si="83"/>
        <v>0</v>
      </c>
      <c r="BI532" s="12">
        <f t="shared" si="83"/>
        <v>0</v>
      </c>
      <c r="BJ532" s="12">
        <f t="shared" si="83"/>
        <v>0</v>
      </c>
      <c r="BK532" s="12">
        <f t="shared" si="83"/>
        <v>0</v>
      </c>
      <c r="BL532" s="12">
        <f t="shared" si="83"/>
        <v>0</v>
      </c>
      <c r="BM532" s="12">
        <f t="shared" si="83"/>
        <v>0</v>
      </c>
      <c r="BN532" s="12">
        <f t="shared" si="83"/>
        <v>0</v>
      </c>
      <c r="BO532" s="12">
        <f t="shared" si="83"/>
        <v>0</v>
      </c>
      <c r="BP532" s="12">
        <f t="shared" si="83"/>
        <v>0</v>
      </c>
      <c r="BQ532" s="12">
        <f t="shared" si="83"/>
        <v>0</v>
      </c>
      <c r="BR532" s="12">
        <f t="shared" si="83"/>
        <v>0</v>
      </c>
      <c r="BS532" s="12">
        <f t="shared" si="83"/>
        <v>0</v>
      </c>
      <c r="BT532" s="12">
        <f t="shared" si="83"/>
        <v>0</v>
      </c>
      <c r="BU532" s="12">
        <f t="shared" si="83"/>
        <v>0</v>
      </c>
      <c r="BV532" s="12">
        <f t="shared" si="83"/>
        <v>0</v>
      </c>
      <c r="BW532" s="146"/>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3">
      <c r="B533" s="806" t="s">
        <v>1170</v>
      </c>
      <c r="C533" s="806"/>
      <c r="D533" s="806"/>
      <c r="E533" s="770">
        <f t="shared" si="82"/>
        <v>0</v>
      </c>
      <c r="F533" s="770"/>
      <c r="G533" s="925" t="s">
        <v>1941</v>
      </c>
      <c r="H533" s="925"/>
      <c r="I533" s="925"/>
      <c r="J533" s="925"/>
      <c r="K533" s="972"/>
      <c r="L533" s="973"/>
      <c r="M533" s="973"/>
      <c r="N533" s="973"/>
      <c r="O533" s="974"/>
      <c r="P533" s="1010"/>
      <c r="S533" s="14"/>
      <c r="T533" s="96"/>
      <c r="U533" s="129"/>
      <c r="V533" s="10"/>
      <c r="W533" s="10"/>
      <c r="X533" s="10"/>
      <c r="Y533" s="10" t="s">
        <v>511</v>
      </c>
      <c r="AE533" s="10"/>
      <c r="AF533" s="10"/>
      <c r="AG533" s="10"/>
      <c r="AH533" s="10"/>
      <c r="AI533" s="10"/>
      <c r="AJ533" s="10"/>
      <c r="AK533" s="50" t="s">
        <v>1872</v>
      </c>
      <c r="AL533" s="84">
        <f t="shared" ref="AL533:BV533" si="84">ROUND(AL532,2)</f>
        <v>0</v>
      </c>
      <c r="AM533" s="84">
        <f t="shared" si="84"/>
        <v>0</v>
      </c>
      <c r="AN533" s="84">
        <f t="shared" si="84"/>
        <v>0</v>
      </c>
      <c r="AO533" s="84">
        <f t="shared" si="84"/>
        <v>0</v>
      </c>
      <c r="AP533" s="84">
        <f t="shared" si="84"/>
        <v>0</v>
      </c>
      <c r="AQ533" s="84">
        <f t="shared" si="84"/>
        <v>0</v>
      </c>
      <c r="AR533" s="84">
        <f t="shared" si="84"/>
        <v>0</v>
      </c>
      <c r="AS533" s="84">
        <f t="shared" si="84"/>
        <v>0</v>
      </c>
      <c r="AT533" s="84">
        <f t="shared" si="84"/>
        <v>0</v>
      </c>
      <c r="AU533" s="84">
        <f t="shared" si="84"/>
        <v>0</v>
      </c>
      <c r="AV533" s="84">
        <f t="shared" si="84"/>
        <v>0</v>
      </c>
      <c r="AW533" s="84">
        <f t="shared" si="84"/>
        <v>0</v>
      </c>
      <c r="AX533" s="84">
        <f t="shared" si="84"/>
        <v>0</v>
      </c>
      <c r="AY533" s="84">
        <f t="shared" si="84"/>
        <v>0</v>
      </c>
      <c r="AZ533" s="84">
        <f t="shared" si="84"/>
        <v>0</v>
      </c>
      <c r="BA533" s="84">
        <f t="shared" si="84"/>
        <v>0</v>
      </c>
      <c r="BB533" s="84">
        <f t="shared" si="84"/>
        <v>0</v>
      </c>
      <c r="BC533" s="84">
        <f t="shared" si="84"/>
        <v>0</v>
      </c>
      <c r="BD533" s="84">
        <f t="shared" si="84"/>
        <v>0</v>
      </c>
      <c r="BE533" s="84">
        <f t="shared" si="84"/>
        <v>0</v>
      </c>
      <c r="BF533" s="84">
        <f t="shared" si="84"/>
        <v>0</v>
      </c>
      <c r="BG533" s="84">
        <f t="shared" si="84"/>
        <v>0</v>
      </c>
      <c r="BH533" s="84">
        <f t="shared" si="84"/>
        <v>0</v>
      </c>
      <c r="BI533" s="84">
        <f t="shared" si="84"/>
        <v>0</v>
      </c>
      <c r="BJ533" s="84">
        <f t="shared" si="84"/>
        <v>0</v>
      </c>
      <c r="BK533" s="84">
        <f t="shared" si="84"/>
        <v>0</v>
      </c>
      <c r="BL533" s="84">
        <f t="shared" si="84"/>
        <v>0</v>
      </c>
      <c r="BM533" s="84">
        <f t="shared" si="84"/>
        <v>0</v>
      </c>
      <c r="BN533" s="84">
        <f t="shared" si="84"/>
        <v>0</v>
      </c>
      <c r="BO533" s="84">
        <f t="shared" si="84"/>
        <v>0</v>
      </c>
      <c r="BP533" s="84">
        <f t="shared" si="84"/>
        <v>0</v>
      </c>
      <c r="BQ533" s="84">
        <f t="shared" si="84"/>
        <v>0</v>
      </c>
      <c r="BR533" s="84">
        <f t="shared" si="84"/>
        <v>0</v>
      </c>
      <c r="BS533" s="84">
        <f t="shared" si="84"/>
        <v>0</v>
      </c>
      <c r="BT533" s="84">
        <f t="shared" si="84"/>
        <v>0</v>
      </c>
      <c r="BU533" s="84">
        <f t="shared" si="84"/>
        <v>0</v>
      </c>
      <c r="BV533" s="84">
        <f t="shared" si="84"/>
        <v>0</v>
      </c>
      <c r="BW533" s="146"/>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 customHeight="1" x14ac:dyDescent="0.3">
      <c r="B534" s="776" t="s">
        <v>1171</v>
      </c>
      <c r="C534" s="806"/>
      <c r="D534" s="806"/>
      <c r="E534" s="770">
        <f>IF(E607&gt;0,0,P398)</f>
        <v>0</v>
      </c>
      <c r="F534" s="770"/>
      <c r="G534" s="935"/>
      <c r="H534" s="935"/>
      <c r="I534" s="753">
        <f t="shared" ref="I534:I539" si="85">IF(AND(Y534&lt;0.01,Y534&gt;0),0.01,ROUND(Y534,2))</f>
        <v>0</v>
      </c>
      <c r="J534" s="755"/>
      <c r="K534" s="972"/>
      <c r="L534" s="973"/>
      <c r="M534" s="973"/>
      <c r="N534" s="973"/>
      <c r="O534" s="974"/>
      <c r="P534" s="1010"/>
      <c r="S534" s="14"/>
      <c r="T534" s="96"/>
      <c r="U534" s="129"/>
      <c r="W534" s="10"/>
      <c r="X534" s="10"/>
      <c r="Y534" s="294">
        <f>IF(AA534=1,0,E534*G534)</f>
        <v>0</v>
      </c>
      <c r="Z534" s="10"/>
      <c r="AA534" s="18">
        <f>IF(P592&gt;0,0,IF(AC395&gt;0,1,0))</f>
        <v>0</v>
      </c>
      <c r="AB534" s="806" t="s">
        <v>407</v>
      </c>
      <c r="AC534" s="806"/>
      <c r="AD534" s="806"/>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 customHeight="1" x14ac:dyDescent="0.3">
      <c r="B535" s="806" t="s">
        <v>1172</v>
      </c>
      <c r="C535" s="806"/>
      <c r="D535" s="806"/>
      <c r="E535" s="770">
        <f>IF(E607&gt;0,0,P408)</f>
        <v>0</v>
      </c>
      <c r="F535" s="770"/>
      <c r="G535" s="935"/>
      <c r="H535" s="935"/>
      <c r="I535" s="936">
        <f t="shared" si="85"/>
        <v>0</v>
      </c>
      <c r="J535" s="936"/>
      <c r="K535" s="972"/>
      <c r="L535" s="973"/>
      <c r="M535" s="973"/>
      <c r="N535" s="973"/>
      <c r="O535" s="974"/>
      <c r="P535" s="1010"/>
      <c r="S535" s="14"/>
      <c r="T535" s="96"/>
      <c r="U535" s="129"/>
      <c r="W535" s="39"/>
      <c r="X535" s="10"/>
      <c r="Y535" s="294">
        <f>IF(AA535=1,0,E535*G535)</f>
        <v>0</v>
      </c>
      <c r="AA535" s="18">
        <f>IF(P592&gt;0,0,IF(AC403&gt;0,1,0))</f>
        <v>0</v>
      </c>
      <c r="AB535" s="806" t="s">
        <v>408</v>
      </c>
      <c r="AC535" s="806"/>
      <c r="AD535" s="806"/>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 customHeight="1" x14ac:dyDescent="0.3">
      <c r="B536" s="806" t="s">
        <v>1987</v>
      </c>
      <c r="C536" s="806"/>
      <c r="D536" s="806"/>
      <c r="E536" s="770">
        <f>P413</f>
        <v>0</v>
      </c>
      <c r="F536" s="770"/>
      <c r="G536" s="935"/>
      <c r="H536" s="935"/>
      <c r="I536" s="936">
        <f t="shared" si="85"/>
        <v>0</v>
      </c>
      <c r="J536" s="936"/>
      <c r="K536" s="972"/>
      <c r="L536" s="973"/>
      <c r="M536" s="973"/>
      <c r="N536" s="973"/>
      <c r="O536" s="974"/>
      <c r="P536" s="1010"/>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 customHeight="1" x14ac:dyDescent="0.3">
      <c r="B537" s="806" t="s">
        <v>1173</v>
      </c>
      <c r="C537" s="806"/>
      <c r="D537" s="806"/>
      <c r="E537" s="770">
        <f>P416</f>
        <v>0</v>
      </c>
      <c r="F537" s="770"/>
      <c r="G537" s="935"/>
      <c r="H537" s="935"/>
      <c r="I537" s="936">
        <f t="shared" si="85"/>
        <v>0</v>
      </c>
      <c r="J537" s="936"/>
      <c r="K537" s="972"/>
      <c r="L537" s="973"/>
      <c r="M537" s="973"/>
      <c r="N537" s="973"/>
      <c r="O537" s="974"/>
      <c r="P537" s="1010"/>
      <c r="S537" s="14"/>
      <c r="T537" s="96"/>
      <c r="U537" s="129"/>
      <c r="W537" s="10"/>
      <c r="X537" s="10"/>
      <c r="Y537" s="294">
        <f t="shared" ref="Y537:Y539" si="86">E537*G537</f>
        <v>0</v>
      </c>
      <c r="Z537" s="604"/>
      <c r="AA537" s="9"/>
      <c r="AB537" s="739"/>
      <c r="AC537" s="739"/>
      <c r="AD537" s="739"/>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3">
      <c r="B538" s="806" t="s">
        <v>1174</v>
      </c>
      <c r="C538" s="806"/>
      <c r="D538" s="806"/>
      <c r="E538" s="770">
        <f>P419</f>
        <v>0</v>
      </c>
      <c r="F538" s="770"/>
      <c r="G538" s="935"/>
      <c r="H538" s="935"/>
      <c r="I538" s="936">
        <f t="shared" si="85"/>
        <v>0</v>
      </c>
      <c r="J538" s="936"/>
      <c r="K538" s="1006"/>
      <c r="L538" s="1007"/>
      <c r="M538" s="1007"/>
      <c r="N538" s="1007"/>
      <c r="O538" s="1008"/>
      <c r="P538" s="1010"/>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3">
      <c r="B539" s="806" t="s">
        <v>1989</v>
      </c>
      <c r="C539" s="806"/>
      <c r="D539" s="806"/>
      <c r="E539" s="770">
        <f>P420</f>
        <v>0</v>
      </c>
      <c r="F539" s="770"/>
      <c r="G539" s="935"/>
      <c r="H539" s="935"/>
      <c r="I539" s="936">
        <f t="shared" si="85"/>
        <v>0</v>
      </c>
      <c r="J539" s="936"/>
      <c r="K539" s="1006"/>
      <c r="L539" s="1007"/>
      <c r="M539" s="1007"/>
      <c r="N539" s="1007"/>
      <c r="O539" s="1008"/>
      <c r="P539" s="1010"/>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3">
      <c r="B540" s="776" t="s">
        <v>794</v>
      </c>
      <c r="C540" s="806"/>
      <c r="D540" s="806"/>
      <c r="E540" s="770">
        <f>P422</f>
        <v>0</v>
      </c>
      <c r="F540" s="770"/>
      <c r="G540" s="925" t="s">
        <v>1941</v>
      </c>
      <c r="H540" s="925"/>
      <c r="I540" s="925"/>
      <c r="J540" s="925"/>
      <c r="K540" s="1006"/>
      <c r="L540" s="1007"/>
      <c r="M540" s="1007"/>
      <c r="N540" s="1007"/>
      <c r="O540" s="1008"/>
      <c r="P540" s="1010"/>
      <c r="S540" s="14"/>
      <c r="T540" s="96"/>
      <c r="U540" s="129"/>
      <c r="W540" s="10"/>
      <c r="X540" s="10"/>
      <c r="Y540" s="305"/>
      <c r="Z540" s="604"/>
      <c r="AA540" s="1"/>
      <c r="AB540" s="10"/>
      <c r="AC540" s="10"/>
      <c r="AD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3">
      <c r="B541" s="776" t="s">
        <v>795</v>
      </c>
      <c r="C541" s="806"/>
      <c r="D541" s="806"/>
      <c r="E541" s="770">
        <f>P423</f>
        <v>0</v>
      </c>
      <c r="F541" s="770"/>
      <c r="G541" s="925" t="s">
        <v>1941</v>
      </c>
      <c r="H541" s="925"/>
      <c r="I541" s="925"/>
      <c r="J541" s="925"/>
      <c r="K541" s="1006"/>
      <c r="L541" s="1007"/>
      <c r="M541" s="1007"/>
      <c r="N541" s="1007"/>
      <c r="O541" s="1008"/>
      <c r="P541" s="1010"/>
      <c r="S541" s="14"/>
      <c r="T541" s="96"/>
      <c r="U541" s="129"/>
      <c r="W541" s="10"/>
      <c r="X541" s="10"/>
      <c r="Y541" s="305"/>
      <c r="Z541" s="604"/>
      <c r="AA541" s="1"/>
      <c r="AB541" s="1"/>
      <c r="AC541" s="10"/>
      <c r="AD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75" customHeight="1" x14ac:dyDescent="0.3">
      <c r="B542" s="806" t="s">
        <v>632</v>
      </c>
      <c r="C542" s="806"/>
      <c r="D542" s="806"/>
      <c r="E542" s="770">
        <f>P426</f>
        <v>0</v>
      </c>
      <c r="F542" s="770"/>
      <c r="G542" s="925" t="s">
        <v>1941</v>
      </c>
      <c r="H542" s="925"/>
      <c r="I542" s="925"/>
      <c r="J542" s="925"/>
      <c r="K542" s="1006"/>
      <c r="L542" s="1007"/>
      <c r="M542" s="1007"/>
      <c r="N542" s="1007"/>
      <c r="O542" s="1008"/>
      <c r="P542" s="1010"/>
      <c r="S542" s="14"/>
      <c r="T542" s="96"/>
      <c r="U542" s="129"/>
      <c r="V542" s="10"/>
      <c r="W542" s="10"/>
      <c r="X542" s="10"/>
      <c r="Y542" s="305"/>
      <c r="Z542" s="604"/>
      <c r="AA542" s="1"/>
      <c r="AB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75" customHeight="1" x14ac:dyDescent="0.3">
      <c r="B543" s="950" t="s">
        <v>1475</v>
      </c>
      <c r="C543" s="514">
        <f>H427</f>
        <v>0</v>
      </c>
      <c r="D543" s="514">
        <f>K427</f>
        <v>0</v>
      </c>
      <c r="E543" s="248">
        <f>M427</f>
        <v>0</v>
      </c>
      <c r="F543" s="248">
        <f>O427</f>
        <v>0</v>
      </c>
      <c r="G543" s="925" t="s">
        <v>1941</v>
      </c>
      <c r="H543" s="925"/>
      <c r="I543" s="925"/>
      <c r="J543" s="925"/>
      <c r="K543" s="1006"/>
      <c r="L543" s="1007"/>
      <c r="M543" s="1007"/>
      <c r="N543" s="1007"/>
      <c r="O543" s="1008"/>
      <c r="P543" s="1010"/>
      <c r="S543" s="14"/>
      <c r="T543" s="96"/>
      <c r="U543" s="129"/>
      <c r="V543" s="10"/>
      <c r="W543" s="10"/>
      <c r="X543" s="10"/>
      <c r="Y543" s="305"/>
      <c r="Z543" s="604"/>
      <c r="AA543" s="1"/>
      <c r="AB543" s="1"/>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75" customHeight="1" x14ac:dyDescent="0.3">
      <c r="B544" s="1127"/>
      <c r="C544" s="248">
        <f>H428</f>
        <v>0</v>
      </c>
      <c r="D544" s="248">
        <f>K428</f>
        <v>0</v>
      </c>
      <c r="E544" s="248">
        <f>M428</f>
        <v>0</v>
      </c>
      <c r="F544" s="248">
        <f>O428</f>
        <v>0</v>
      </c>
      <c r="G544" s="925" t="s">
        <v>1941</v>
      </c>
      <c r="H544" s="925"/>
      <c r="I544" s="925"/>
      <c r="J544" s="925"/>
      <c r="K544" s="510"/>
      <c r="L544" s="511"/>
      <c r="M544" s="511"/>
      <c r="N544" s="511"/>
      <c r="O544" s="512"/>
      <c r="P544" s="1010"/>
      <c r="S544" s="14"/>
      <c r="T544" s="96"/>
      <c r="U544" s="129"/>
      <c r="V544" s="10"/>
      <c r="W544" s="10"/>
      <c r="X544" s="10"/>
      <c r="Y544" s="305"/>
      <c r="Z544" s="604"/>
      <c r="AA544" s="1"/>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1:109" ht="15.75" customHeight="1" x14ac:dyDescent="0.3">
      <c r="B545" s="764" t="s">
        <v>1476</v>
      </c>
      <c r="C545" s="514">
        <f>H429</f>
        <v>0</v>
      </c>
      <c r="D545" s="514">
        <f>K429</f>
        <v>0</v>
      </c>
      <c r="E545" s="248">
        <f>M429</f>
        <v>0</v>
      </c>
      <c r="F545" s="248">
        <f>O429</f>
        <v>0</v>
      </c>
      <c r="G545" s="925" t="s">
        <v>1941</v>
      </c>
      <c r="H545" s="925"/>
      <c r="I545" s="925"/>
      <c r="J545" s="925"/>
      <c r="K545" s="633"/>
      <c r="L545" s="634"/>
      <c r="M545" s="634"/>
      <c r="N545" s="634"/>
      <c r="O545" s="635"/>
      <c r="P545" s="1010"/>
      <c r="R545" s="129"/>
      <c r="S545" s="14"/>
      <c r="T545" s="96"/>
      <c r="U545" s="129"/>
      <c r="V545" s="10"/>
      <c r="W545" s="10"/>
      <c r="X545" s="10"/>
      <c r="Y545" s="305"/>
      <c r="Z545" s="10"/>
      <c r="AA545" s="1"/>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1:109" ht="15.75" customHeight="1" x14ac:dyDescent="0.3">
      <c r="B546" s="767"/>
      <c r="C546" s="248">
        <f>H430</f>
        <v>0</v>
      </c>
      <c r="D546" s="248">
        <f>K430</f>
        <v>0</v>
      </c>
      <c r="E546" s="248">
        <f>M430</f>
        <v>0</v>
      </c>
      <c r="F546" s="248">
        <f>O430</f>
        <v>0</v>
      </c>
      <c r="G546" s="925" t="s">
        <v>1941</v>
      </c>
      <c r="H546" s="925"/>
      <c r="I546" s="925"/>
      <c r="J546" s="925"/>
      <c r="K546" s="633"/>
      <c r="L546" s="634"/>
      <c r="M546" s="634"/>
      <c r="N546" s="634"/>
      <c r="O546" s="635"/>
      <c r="P546" s="1010"/>
      <c r="R546" s="129"/>
      <c r="S546" s="14"/>
      <c r="T546" s="96"/>
      <c r="U546" s="129"/>
      <c r="V546" s="10"/>
      <c r="W546" s="10"/>
      <c r="X546" s="10"/>
      <c r="Y546" s="305"/>
      <c r="Z546" s="10"/>
      <c r="AA546" s="1"/>
      <c r="AB546" s="1"/>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1:109" ht="15.75" customHeight="1" x14ac:dyDescent="0.3">
      <c r="B547" s="806" t="s">
        <v>1477</v>
      </c>
      <c r="C547" s="806"/>
      <c r="D547" s="806"/>
      <c r="E547" s="770">
        <f>P431</f>
        <v>0</v>
      </c>
      <c r="F547" s="770"/>
      <c r="G547" s="925" t="s">
        <v>1941</v>
      </c>
      <c r="H547" s="925"/>
      <c r="I547" s="925"/>
      <c r="J547" s="925"/>
      <c r="K547" s="633"/>
      <c r="L547" s="634"/>
      <c r="M547" s="634"/>
      <c r="N547" s="634"/>
      <c r="O547" s="635"/>
      <c r="P547" s="1010"/>
      <c r="S547" s="14"/>
      <c r="T547" s="96"/>
      <c r="U547" s="129"/>
      <c r="V547" s="10"/>
      <c r="W547" s="10"/>
      <c r="X547" s="10"/>
      <c r="Y547" s="305"/>
      <c r="Z547" s="10"/>
      <c r="AA547" s="1"/>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1:109" ht="15.75" customHeight="1" x14ac:dyDescent="0.3">
      <c r="B548" s="757" t="s">
        <v>982</v>
      </c>
      <c r="C548" s="758"/>
      <c r="D548" s="759"/>
      <c r="E548" s="742">
        <f>P432</f>
        <v>0</v>
      </c>
      <c r="F548" s="744"/>
      <c r="G548" s="925" t="s">
        <v>1941</v>
      </c>
      <c r="H548" s="925"/>
      <c r="I548" s="925"/>
      <c r="J548" s="925"/>
      <c r="K548" s="1131" t="str">
        <f>IF(AND(OR(P398&gt;0,P408&gt;0,P506&gt;0,P514&gt;0),E607&gt;0),"A value has been granted for motor loss. Additional impairment values are not allowed for weakness, chronic condition, or reduced ROM in the same extremity.","")</f>
        <v/>
      </c>
      <c r="L548" s="1132"/>
      <c r="M548" s="1132"/>
      <c r="N548" s="1132"/>
      <c r="O548" s="1133"/>
      <c r="P548" s="1010"/>
      <c r="S548" s="14"/>
      <c r="T548" s="96"/>
      <c r="U548" s="129"/>
      <c r="V548" s="10"/>
      <c r="W548" s="10"/>
      <c r="X548" s="10"/>
      <c r="Y548" s="305"/>
      <c r="Z548" s="10"/>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1:109" ht="15.75" customHeight="1" x14ac:dyDescent="0.3">
      <c r="B549" s="806" t="s">
        <v>1446</v>
      </c>
      <c r="C549" s="806"/>
      <c r="D549" s="806"/>
      <c r="E549" s="770">
        <f>P436</f>
        <v>0</v>
      </c>
      <c r="F549" s="770"/>
      <c r="G549" s="935"/>
      <c r="H549" s="935"/>
      <c r="I549" s="936">
        <f t="shared" ref="I549:I552" si="87">IF(AND(Y549&lt;0.01,Y549&gt;0),0.01,ROUND(Y549,2))</f>
        <v>0</v>
      </c>
      <c r="J549" s="936"/>
      <c r="K549" s="1131"/>
      <c r="L549" s="1132"/>
      <c r="M549" s="1132"/>
      <c r="N549" s="1132"/>
      <c r="O549" s="1133"/>
      <c r="P549" s="1010"/>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1:109" ht="15.75" customHeight="1" x14ac:dyDescent="0.3">
      <c r="B550" s="806" t="s">
        <v>1253</v>
      </c>
      <c r="C550" s="806"/>
      <c r="D550" s="806"/>
      <c r="E550" s="770">
        <f>P440</f>
        <v>0</v>
      </c>
      <c r="F550" s="770"/>
      <c r="G550" s="935"/>
      <c r="H550" s="935"/>
      <c r="I550" s="936">
        <f t="shared" si="87"/>
        <v>0</v>
      </c>
      <c r="J550" s="936"/>
      <c r="K550" s="1131"/>
      <c r="L550" s="1132"/>
      <c r="M550" s="1132"/>
      <c r="N550" s="1132"/>
      <c r="O550" s="1133"/>
      <c r="P550" s="1010"/>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1:109" ht="15.75" customHeight="1" x14ac:dyDescent="0.3">
      <c r="B551" s="806" t="s">
        <v>1638</v>
      </c>
      <c r="C551" s="806"/>
      <c r="D551" s="806"/>
      <c r="E551" s="770">
        <f>IF(E607&gt;0,0,P508)</f>
        <v>0</v>
      </c>
      <c r="F551" s="770"/>
      <c r="G551" s="935"/>
      <c r="H551" s="935"/>
      <c r="I551" s="936">
        <f t="shared" si="87"/>
        <v>0</v>
      </c>
      <c r="J551" s="936"/>
      <c r="K551" s="1131"/>
      <c r="L551" s="1132"/>
      <c r="M551" s="1132"/>
      <c r="N551" s="1132"/>
      <c r="O551" s="1133"/>
      <c r="P551" s="1010"/>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1:109" ht="15.75" customHeight="1" x14ac:dyDescent="0.3">
      <c r="B552" s="806" t="s">
        <v>1478</v>
      </c>
      <c r="C552" s="806"/>
      <c r="D552" s="806"/>
      <c r="E552" s="770">
        <f>IF(E607&gt;0,0,P514)</f>
        <v>0</v>
      </c>
      <c r="F552" s="770"/>
      <c r="G552" s="935"/>
      <c r="H552" s="935"/>
      <c r="I552" s="936">
        <f t="shared" si="87"/>
        <v>0</v>
      </c>
      <c r="J552" s="936"/>
      <c r="K552" s="1131"/>
      <c r="L552" s="1132"/>
      <c r="M552" s="1132"/>
      <c r="N552" s="1132"/>
      <c r="O552" s="1133"/>
      <c r="P552" s="1010"/>
      <c r="S552" s="14"/>
      <c r="T552" s="96"/>
      <c r="U552" s="129"/>
      <c r="V552" s="10"/>
      <c r="W552" s="10"/>
      <c r="X552" s="10"/>
      <c r="Y552" s="294">
        <f t="shared" si="88"/>
        <v>0</v>
      </c>
      <c r="Z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1:109" ht="15.75" customHeight="1" x14ac:dyDescent="0.3">
      <c r="B553" s="804" t="s">
        <v>1479</v>
      </c>
      <c r="C553" s="804"/>
      <c r="D553" s="804"/>
      <c r="E553" s="1015">
        <f>P518</f>
        <v>0</v>
      </c>
      <c r="F553" s="873"/>
      <c r="G553" s="845" t="s">
        <v>1941</v>
      </c>
      <c r="H553" s="845"/>
      <c r="I553" s="845"/>
      <c r="J553" s="845"/>
      <c r="K553" s="1131"/>
      <c r="L553" s="1132"/>
      <c r="M553" s="1132"/>
      <c r="N553" s="1132"/>
      <c r="O553" s="1133"/>
      <c r="P553" s="1010"/>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1:109" ht="15.75" customHeight="1" x14ac:dyDescent="0.3">
      <c r="B554" s="959" t="s">
        <v>2257</v>
      </c>
      <c r="C554" s="959"/>
      <c r="D554" s="959"/>
      <c r="E554" s="959"/>
      <c r="F554" s="959"/>
      <c r="G554" s="959"/>
      <c r="H554" s="959"/>
      <c r="I554" s="959"/>
      <c r="J554" s="959"/>
      <c r="K554" s="959"/>
      <c r="L554" s="959"/>
      <c r="M554" s="959"/>
      <c r="N554" s="959"/>
      <c r="O554" s="959"/>
      <c r="P554" s="996"/>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1:109" ht="12" customHeight="1" x14ac:dyDescent="0.3">
      <c r="B555" s="792"/>
      <c r="C555" s="792"/>
      <c r="D555" s="792"/>
      <c r="E555" s="792"/>
      <c r="F555" s="792"/>
      <c r="G555" s="792"/>
      <c r="H555" s="792"/>
      <c r="I555" s="792"/>
      <c r="J555" s="792"/>
      <c r="K555" s="792"/>
      <c r="L555" s="792"/>
      <c r="M555" s="792"/>
      <c r="N555" s="792"/>
      <c r="O555" s="792"/>
      <c r="P555" s="792"/>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1:109" ht="25.5" customHeight="1" x14ac:dyDescent="0.35">
      <c r="B556" s="910" t="s">
        <v>32</v>
      </c>
      <c r="C556" s="911"/>
      <c r="D556" s="911"/>
      <c r="E556" s="911"/>
      <c r="F556" s="911"/>
      <c r="G556" s="911"/>
      <c r="H556" s="911"/>
      <c r="I556" s="911"/>
      <c r="J556" s="911"/>
      <c r="K556" s="911"/>
      <c r="L556" s="911"/>
      <c r="M556" s="911"/>
      <c r="N556" s="911"/>
      <c r="O556" s="911"/>
      <c r="P556" s="375" t="s">
        <v>1065</v>
      </c>
      <c r="R556" s="206"/>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1:109" ht="15" customHeight="1" x14ac:dyDescent="0.3">
      <c r="B557" s="1036" t="s">
        <v>1932</v>
      </c>
      <c r="C557" s="739"/>
      <c r="D557" s="739"/>
      <c r="E557" s="739"/>
      <c r="F557" s="739"/>
      <c r="G557" s="739"/>
      <c r="H557" s="739"/>
      <c r="I557" s="739"/>
      <c r="J557" s="739"/>
      <c r="K557" s="739"/>
      <c r="L557" s="739"/>
      <c r="M557" s="739"/>
      <c r="N557" s="739"/>
      <c r="O557" s="739"/>
      <c r="P557" s="376"/>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1:109" ht="19.5" customHeight="1" x14ac:dyDescent="0.3">
      <c r="A558" s="15"/>
      <c r="B558" s="1024"/>
      <c r="C558" s="1025"/>
      <c r="D558" s="1025"/>
      <c r="E558" s="1025"/>
      <c r="F558" s="1025"/>
      <c r="G558" s="1025"/>
      <c r="H558" s="1025"/>
      <c r="I558" s="1025"/>
      <c r="J558" s="1025"/>
      <c r="K558" s="1025"/>
      <c r="L558" s="1025"/>
      <c r="M558" s="1025"/>
      <c r="N558" s="1025"/>
      <c r="O558" s="1025"/>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1:109" ht="7.5" customHeight="1" x14ac:dyDescent="0.3">
      <c r="B559" s="792"/>
      <c r="C559" s="792"/>
      <c r="D559" s="792"/>
      <c r="E559" s="792"/>
      <c r="F559" s="792"/>
      <c r="G559" s="792"/>
      <c r="H559" s="792"/>
      <c r="I559" s="792"/>
      <c r="J559" s="792"/>
      <c r="K559" s="792"/>
      <c r="L559" s="792"/>
      <c r="M559" s="792"/>
      <c r="N559" s="792"/>
      <c r="O559" s="792"/>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1:109" ht="15" customHeight="1" x14ac:dyDescent="0.3">
      <c r="B560" s="925" t="s">
        <v>1594</v>
      </c>
      <c r="C560" s="925"/>
      <c r="D560" s="925"/>
      <c r="E560" s="925"/>
      <c r="F560" s="925"/>
      <c r="G560" s="925"/>
      <c r="H560" s="925"/>
      <c r="I560" s="925"/>
      <c r="J560" s="925"/>
      <c r="K560" s="925"/>
      <c r="L560" s="925"/>
      <c r="M560" s="925"/>
      <c r="N560" s="925"/>
      <c r="O560" s="925"/>
      <c r="P560" s="925"/>
      <c r="R560" s="10"/>
      <c r="S560" s="10"/>
      <c r="T560" s="922" t="s">
        <v>2188</v>
      </c>
      <c r="U560" s="923"/>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2:109" ht="24.75" customHeight="1" x14ac:dyDescent="0.3">
      <c r="B561" s="18" t="s">
        <v>889</v>
      </c>
      <c r="C561" s="925" t="s">
        <v>1595</v>
      </c>
      <c r="D561" s="925"/>
      <c r="E561" s="925"/>
      <c r="F561" s="925"/>
      <c r="G561" s="927" t="s">
        <v>1081</v>
      </c>
      <c r="H561" s="927"/>
      <c r="I561" s="927"/>
      <c r="J561" s="927"/>
      <c r="K561" s="927"/>
      <c r="L561" s="927"/>
      <c r="M561" s="927"/>
      <c r="N561" s="927"/>
      <c r="O561" s="927"/>
      <c r="P561" s="925"/>
      <c r="R561" s="10"/>
      <c r="S561" s="50" t="s">
        <v>1654</v>
      </c>
      <c r="T561" s="128" t="s">
        <v>1595</v>
      </c>
      <c r="U561" s="128" t="s">
        <v>1596</v>
      </c>
      <c r="V561" s="940" t="s">
        <v>1083</v>
      </c>
      <c r="W561" s="941"/>
      <c r="X561" s="941"/>
      <c r="Y561" s="942"/>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2:109" ht="15" customHeight="1" x14ac:dyDescent="0.3">
      <c r="B562" s="147" t="s">
        <v>1512</v>
      </c>
      <c r="C562" s="1026"/>
      <c r="D562" s="1026"/>
      <c r="E562" s="948">
        <f>UETable!AV80</f>
        <v>0</v>
      </c>
      <c r="F562" s="948"/>
      <c r="G562" s="1026"/>
      <c r="H562" s="1026"/>
      <c r="I562" s="929">
        <f>IF(C562="",0,IF(OR(C562&lt;=0,G562&lt;=0),E562,IF(G562&lt;C562,0,UETable!BA80)))</f>
        <v>0</v>
      </c>
      <c r="J562" s="929"/>
      <c r="K562" s="946" t="str">
        <f>IF(OR(C562="NA",G562="NA"),"",IF(AND(C562&lt;&gt;"",G562=""),"Enter contralateral or NA.",IF(AND(C562="",G562&lt;&gt;""),"Need data","")))</f>
        <v/>
      </c>
      <c r="L562" s="946"/>
      <c r="M562" s="946"/>
      <c r="N562" s="946"/>
      <c r="O562" s="946"/>
      <c r="P562" s="925"/>
      <c r="R562" s="10"/>
      <c r="S562" s="50">
        <v>150</v>
      </c>
      <c r="T562" s="50" t="str">
        <f t="shared" ref="T562:T569" si="89">IF(OR(C562="",C562="NA"),"",IF(C562&gt;S562,S562,IF(C562&lt;0,0,C562)))</f>
        <v/>
      </c>
      <c r="U562" s="50" t="str">
        <f>IF(OR(G562="",G562="NA"),"",IF(G562&gt;S562,S562,IF(G562&lt;0,0,G562)))</f>
        <v/>
      </c>
      <c r="V562" s="562" t="str">
        <f>IF(Y562="","",ROUND(Y562,0))</f>
        <v/>
      </c>
      <c r="W562" s="806" t="s">
        <v>1202</v>
      </c>
      <c r="X562" s="806"/>
      <c r="Y562" s="563" t="str">
        <f>IF(T562="","",IF(OR(U562="",U562=0,U562&lt;T562),T562,(T562*150)/U562))</f>
        <v/>
      </c>
      <c r="Z562" s="10"/>
      <c r="AA562" s="10"/>
      <c r="AB562" s="10"/>
      <c r="AC562" s="10"/>
      <c r="AD562" s="10"/>
      <c r="AE562" s="10"/>
      <c r="AF562" s="10"/>
      <c r="AG562" s="10"/>
      <c r="AH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2:109" ht="15" customHeight="1" x14ac:dyDescent="0.3">
      <c r="B563" s="147" t="s">
        <v>1203</v>
      </c>
      <c r="C563" s="1026"/>
      <c r="D563" s="1026"/>
      <c r="E563" s="948">
        <f>IF(AND(AJ569=1,AK569=1),"ERROR",UETable!AV81)</f>
        <v>0</v>
      </c>
      <c r="F563" s="948"/>
      <c r="G563" s="946" t="str">
        <f>IF(AND($AK$569=1,$AJ$569=1),"Cannot rate ROM and ankylosis.","")</f>
        <v/>
      </c>
      <c r="H563" s="946"/>
      <c r="I563" s="946"/>
      <c r="J563" s="946"/>
      <c r="K563" s="946"/>
      <c r="L563" s="946"/>
      <c r="M563" s="946"/>
      <c r="N563" s="946"/>
      <c r="O563" s="946"/>
      <c r="P563" s="925"/>
      <c r="R563" s="10"/>
      <c r="S563" s="50">
        <v>150</v>
      </c>
      <c r="T563" s="60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2:109" ht="15" customHeight="1" x14ac:dyDescent="0.3">
      <c r="B564" s="147" t="s">
        <v>1177</v>
      </c>
      <c r="C564" s="1026"/>
      <c r="D564" s="1026"/>
      <c r="E564" s="948">
        <f>UETable!AV82</f>
        <v>0</v>
      </c>
      <c r="F564" s="948"/>
      <c r="G564" s="1026"/>
      <c r="H564" s="1026"/>
      <c r="I564" s="929">
        <f>IF(C564="",0,IF(OR(C564&gt;=150,G564&gt;=150),E564,IF(G564&gt;C564,0,UETable!BA82)))</f>
        <v>0</v>
      </c>
      <c r="J564" s="929"/>
      <c r="K564" s="946" t="str">
        <f>IF(OR(C564="NA",G564="NA"),"",IF(AND(C564&lt;&gt;"",G564=""),"Enter contralateral or NA.",IF(AND(C564="",G564&lt;&gt;""),"Need data","")))</f>
        <v/>
      </c>
      <c r="L564" s="946"/>
      <c r="M564" s="946"/>
      <c r="N564" s="946"/>
      <c r="O564" s="946"/>
      <c r="P564" s="925"/>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2:109" ht="15" customHeight="1" x14ac:dyDescent="0.3">
      <c r="B565" s="147" t="s">
        <v>1205</v>
      </c>
      <c r="C565" s="1026"/>
      <c r="D565" s="1026"/>
      <c r="E565" s="948">
        <f>IF(AND(AJ569=1,AK569=1),"ERROR",UETable!AV83)</f>
        <v>0</v>
      </c>
      <c r="F565" s="948"/>
      <c r="G565" s="946" t="str">
        <f>IF(AND($AK$569=1,$AJ$569=1),"Cannot rate ROM and ankylosis.","")</f>
        <v/>
      </c>
      <c r="H565" s="946"/>
      <c r="I565" s="946"/>
      <c r="J565" s="946"/>
      <c r="K565" s="946"/>
      <c r="L565" s="946"/>
      <c r="M565" s="946"/>
      <c r="N565" s="946"/>
      <c r="O565" s="946"/>
      <c r="P565" s="925"/>
      <c r="R565" s="10"/>
      <c r="S565" s="50">
        <v>150</v>
      </c>
      <c r="T565" s="386" t="str">
        <f t="shared" si="89"/>
        <v/>
      </c>
      <c r="U565" s="10"/>
      <c r="V565" s="10"/>
      <c r="W565" s="10"/>
      <c r="X565" s="10"/>
      <c r="Y565" s="10"/>
      <c r="Z565" s="10"/>
      <c r="AA565" s="10"/>
      <c r="AB565" s="10"/>
      <c r="AC565" s="193">
        <f>MAX(E563,E565,E567,E569)</f>
        <v>0</v>
      </c>
      <c r="AD565" s="806" t="s">
        <v>1942</v>
      </c>
      <c r="AE565" s="806"/>
      <c r="AF565" s="806"/>
      <c r="AG565" s="806"/>
      <c r="AH565" s="10"/>
      <c r="AI565" s="776" t="s">
        <v>930</v>
      </c>
      <c r="AJ565" s="776" t="s">
        <v>692</v>
      </c>
      <c r="AK565" s="776" t="s">
        <v>693</v>
      </c>
      <c r="AL565" s="776" t="s">
        <v>895</v>
      </c>
      <c r="AM565" s="713"/>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2:109" ht="15" customHeight="1" x14ac:dyDescent="0.3">
      <c r="B566" s="146" t="s">
        <v>913</v>
      </c>
      <c r="C566" s="708"/>
      <c r="D566" s="708"/>
      <c r="E566" s="948">
        <f>UETable!AV84</f>
        <v>0</v>
      </c>
      <c r="F566" s="948"/>
      <c r="G566" s="708"/>
      <c r="H566" s="708"/>
      <c r="I566" s="929">
        <f>IF(C566="",0,IF(OR(C566&lt;=0,G566&lt;=0),E566,IF(G566&lt;C566,0,UETable!BA84)))</f>
        <v>0</v>
      </c>
      <c r="J566" s="929"/>
      <c r="K566" s="946" t="str">
        <f>IF(OR(C566="NA",G566="NA"),"",IF(AND(C566&lt;&gt;"",G566=""),"Enter contralateral or NA.",IF(AND(C566="",G566&lt;&gt;""),"Need data","")))</f>
        <v/>
      </c>
      <c r="L566" s="946"/>
      <c r="M566" s="946"/>
      <c r="N566" s="946"/>
      <c r="O566" s="946"/>
      <c r="P566" s="925"/>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IF(AND(AJ569=1,AK569=1),"ERROR",SUM(I562,I564,I566,I568,AC565))</f>
        <v>0</v>
      </c>
      <c r="AD566" s="806" t="s">
        <v>1176</v>
      </c>
      <c r="AE566" s="806"/>
      <c r="AF566" s="806"/>
      <c r="AG566" s="806"/>
      <c r="AH566" s="39"/>
      <c r="AI566" s="776"/>
      <c r="AJ566" s="776"/>
      <c r="AK566" s="776"/>
      <c r="AL566" s="776"/>
      <c r="AM566" s="713"/>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2:109" ht="15" customHeight="1" x14ac:dyDescent="0.3">
      <c r="B567" s="146" t="s">
        <v>931</v>
      </c>
      <c r="C567" s="708"/>
      <c r="D567" s="708"/>
      <c r="E567" s="948">
        <f>IF(AND(AJ569,AK569=1),"ERROR",UETable!AV85)</f>
        <v>0</v>
      </c>
      <c r="F567" s="948"/>
      <c r="G567" s="946" t="str">
        <f>IF(AND($AK$569=1,$AJ$569=1),"Cannot rate ROM and ankylosis.","")</f>
        <v/>
      </c>
      <c r="H567" s="946"/>
      <c r="I567" s="946"/>
      <c r="J567" s="946"/>
      <c r="K567" s="946"/>
      <c r="L567" s="946"/>
      <c r="M567" s="946"/>
      <c r="N567" s="946"/>
      <c r="O567" s="946"/>
      <c r="P567" s="925"/>
      <c r="R567" s="10"/>
      <c r="S567" s="50">
        <v>80</v>
      </c>
      <c r="T567" s="386" t="str">
        <f t="shared" si="89"/>
        <v/>
      </c>
      <c r="U567" s="10"/>
      <c r="V567" s="10"/>
      <c r="W567" s="10"/>
      <c r="X567" s="10"/>
      <c r="Y567" s="10"/>
      <c r="Z567" s="10"/>
      <c r="AA567" s="10"/>
      <c r="AB567" s="10"/>
      <c r="AC567" s="10"/>
      <c r="AD567" s="10"/>
      <c r="AE567" s="10"/>
      <c r="AF567" s="10"/>
      <c r="AG567" s="10"/>
      <c r="AH567" s="39"/>
      <c r="AI567" s="776"/>
      <c r="AJ567" s="776"/>
      <c r="AK567" s="776"/>
      <c r="AL567" s="776"/>
      <c r="AM567" s="713"/>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2:109" ht="15" customHeight="1" x14ac:dyDescent="0.3">
      <c r="B568" s="146" t="s">
        <v>914</v>
      </c>
      <c r="C568" s="708"/>
      <c r="D568" s="708"/>
      <c r="E568" s="948">
        <f>UETable!AV86</f>
        <v>0</v>
      </c>
      <c r="F568" s="948"/>
      <c r="G568" s="708"/>
      <c r="H568" s="708"/>
      <c r="I568" s="929">
        <f>IF(C568="",0,IF(OR(C568&lt;=0,G568&lt;=0),E568,IF(G568&lt;C568,0,UETable!BA86)))</f>
        <v>0</v>
      </c>
      <c r="J568" s="929"/>
      <c r="K568" s="946" t="str">
        <f>IF(OR(C568="NA",G568="NA"),"",IF(AND(C568&lt;&gt;"",G568=""),"Enter contralateral or NA.",IF(AND(C568="",G568&lt;&gt;""),"Need data","")))</f>
        <v/>
      </c>
      <c r="L568" s="946"/>
      <c r="M568" s="946"/>
      <c r="N568" s="946"/>
      <c r="O568" s="946"/>
      <c r="P568" s="925"/>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776"/>
      <c r="AJ568" s="776"/>
      <c r="AK568" s="776"/>
      <c r="AL568" s="776"/>
      <c r="AM568" s="713"/>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2:109" ht="15" customHeight="1" x14ac:dyDescent="0.3">
      <c r="B569" s="146" t="s">
        <v>932</v>
      </c>
      <c r="C569" s="708"/>
      <c r="D569" s="708"/>
      <c r="E569" s="948">
        <f>IF(AND(AJ569,AK569=1),"ERROR",UETable!AV87)</f>
        <v>0</v>
      </c>
      <c r="F569" s="948"/>
      <c r="G569" s="946" t="str">
        <f>IF(AND($AK$569=1,$AJ$569=1),"Cannot rate ROM and ankylosis.","")</f>
        <v/>
      </c>
      <c r="H569" s="946"/>
      <c r="I569" s="946"/>
      <c r="J569" s="946"/>
      <c r="K569" s="946"/>
      <c r="L569" s="946"/>
      <c r="M569" s="946"/>
      <c r="N569" s="946"/>
      <c r="O569" s="946"/>
      <c r="P569" s="925"/>
      <c r="R569" s="10"/>
      <c r="S569" s="50">
        <v>80</v>
      </c>
      <c r="T569" s="386" t="str">
        <f t="shared" si="89"/>
        <v/>
      </c>
      <c r="U569" s="50"/>
      <c r="V569" s="925" t="s">
        <v>2189</v>
      </c>
      <c r="W569" s="925"/>
      <c r="X569" s="925"/>
      <c r="Y569" s="925"/>
      <c r="Z569" s="925"/>
      <c r="AA569" s="925"/>
      <c r="AB569" s="925"/>
      <c r="AC569" s="925"/>
      <c r="AH569" s="10"/>
      <c r="AI569" s="50">
        <f>SUM(W570=1,Y570=1,AA570=1,AC570=1)</f>
        <v>0</v>
      </c>
      <c r="AJ569" s="50">
        <f>IF(OR(V570=1,X570=1,Z570=1,AB570=1),1,0)</f>
        <v>0</v>
      </c>
      <c r="AK569" s="50">
        <f>IF(OR(W570=1,Y570=1,AA570=1,AC570=1),1,0)</f>
        <v>0</v>
      </c>
      <c r="AL569" s="50">
        <f>SUM(V570,X570,Z570,AB570)</f>
        <v>0</v>
      </c>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2:109" ht="15" customHeight="1" x14ac:dyDescent="0.3">
      <c r="B570" s="1033" t="str">
        <f>IF(AI569&gt;1,"Multiple ankylosis values; use highest value only.","")</f>
        <v/>
      </c>
      <c r="C570" s="1034"/>
      <c r="D570" s="1034"/>
      <c r="E570" s="1034"/>
      <c r="F570" s="1034"/>
      <c r="G570" s="1034"/>
      <c r="H570" s="1034"/>
      <c r="I570" s="1034"/>
      <c r="J570" s="1035"/>
      <c r="K570" s="1019" t="s">
        <v>717</v>
      </c>
      <c r="L570" s="1020"/>
      <c r="M570" s="1020"/>
      <c r="N570" s="1020"/>
      <c r="O570" s="1021"/>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F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2:109" ht="6.75" customHeight="1" x14ac:dyDescent="0.3">
      <c r="B571" s="792"/>
      <c r="C571" s="792"/>
      <c r="D571" s="792"/>
      <c r="E571" s="792"/>
      <c r="F571" s="792"/>
      <c r="G571" s="792"/>
      <c r="H571" s="792"/>
      <c r="I571" s="792"/>
      <c r="J571" s="792"/>
      <c r="K571" s="792"/>
      <c r="L571" s="792"/>
      <c r="M571" s="792"/>
      <c r="N571" s="792"/>
      <c r="O571" s="792"/>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2:109" ht="6" customHeight="1" x14ac:dyDescent="0.3">
      <c r="B572" s="792"/>
      <c r="C572" s="792"/>
      <c r="D572" s="792"/>
      <c r="E572" s="792"/>
      <c r="F572" s="792"/>
      <c r="G572" s="792"/>
      <c r="H572" s="792"/>
      <c r="I572" s="792"/>
      <c r="J572" s="792"/>
      <c r="K572" s="792"/>
      <c r="L572" s="792"/>
      <c r="M572" s="792"/>
      <c r="N572" s="792"/>
      <c r="O572" s="792"/>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2:109" ht="18" customHeight="1" x14ac:dyDescent="0.3">
      <c r="B573" s="771" t="s">
        <v>718</v>
      </c>
      <c r="C573" s="772"/>
      <c r="D573" s="773"/>
      <c r="E573" s="1018"/>
      <c r="F573" s="1018"/>
      <c r="G573" s="1018"/>
      <c r="H573" s="1018"/>
      <c r="I573" s="1018"/>
      <c r="J573" s="1018"/>
      <c r="K573" s="1018"/>
      <c r="L573" s="1018"/>
      <c r="M573" s="1018"/>
      <c r="N573" s="1018"/>
      <c r="O573" s="1018"/>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2:109" ht="12" customHeight="1" x14ac:dyDescent="0.3">
      <c r="B574" s="792"/>
      <c r="C574" s="792"/>
      <c r="D574" s="792"/>
      <c r="E574" s="792"/>
      <c r="F574" s="792"/>
      <c r="G574" s="792"/>
      <c r="H574" s="792"/>
      <c r="I574" s="792"/>
      <c r="J574" s="792"/>
      <c r="K574" s="792"/>
      <c r="L574" s="792"/>
      <c r="M574" s="792"/>
      <c r="N574" s="792"/>
      <c r="O574" s="792"/>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2:109" ht="18" customHeight="1" x14ac:dyDescent="0.3">
      <c r="B575" s="806" t="s">
        <v>724</v>
      </c>
      <c r="C575" s="806"/>
      <c r="D575" s="806"/>
      <c r="E575" s="806"/>
      <c r="F575" s="806"/>
      <c r="G575" s="806"/>
      <c r="H575" s="806"/>
      <c r="I575" s="806"/>
      <c r="J575" s="806"/>
      <c r="K575" s="745"/>
      <c r="L575" s="892"/>
      <c r="M575" s="892"/>
      <c r="N575" s="892"/>
      <c r="O575" s="835"/>
      <c r="P575" s="248">
        <f>IF(K575=S575,0.07,IF(K575=T575,0.14,IF(K575=U575,0.21,0)))</f>
        <v>0</v>
      </c>
      <c r="R575" s="30"/>
      <c r="S575" s="50" t="s">
        <v>725</v>
      </c>
      <c r="T575" s="50" t="s">
        <v>726</v>
      </c>
      <c r="U575" s="147" t="s">
        <v>727</v>
      </c>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2:109" ht="12" customHeight="1" x14ac:dyDescent="0.3">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8" customHeight="1" x14ac:dyDescent="0.3">
      <c r="A577" s="15"/>
      <c r="B577" s="771" t="s">
        <v>791</v>
      </c>
      <c r="C577" s="772"/>
      <c r="D577" s="772"/>
      <c r="E577" s="772"/>
      <c r="F577" s="773"/>
      <c r="G577" s="1023"/>
      <c r="H577" s="1023"/>
      <c r="I577" s="806" t="s">
        <v>205</v>
      </c>
      <c r="J577" s="806"/>
      <c r="K577" s="806"/>
      <c r="L577" s="806"/>
      <c r="M577" s="806"/>
      <c r="N577" s="806"/>
      <c r="O577" s="806"/>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3">
      <c r="B578" s="792"/>
      <c r="C578" s="792"/>
      <c r="D578" s="792"/>
      <c r="E578" s="792"/>
      <c r="F578" s="792"/>
      <c r="G578" s="792"/>
      <c r="H578" s="792"/>
      <c r="I578" s="792"/>
      <c r="J578" s="792"/>
      <c r="K578" s="792"/>
      <c r="L578" s="792"/>
      <c r="M578" s="792"/>
      <c r="N578" s="792"/>
      <c r="O578" s="792"/>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39" customHeight="1" x14ac:dyDescent="0.3">
      <c r="A579" s="15"/>
      <c r="B579" s="452" t="s">
        <v>972</v>
      </c>
      <c r="C579" s="1022"/>
      <c r="D579" s="1023"/>
      <c r="E579" s="1023"/>
      <c r="F579" s="1023"/>
      <c r="G579" s="1023"/>
      <c r="H579" s="1023"/>
      <c r="I579" s="1023"/>
      <c r="J579" s="1023"/>
      <c r="K579" s="1023"/>
      <c r="L579" s="1023"/>
      <c r="M579" s="1023"/>
      <c r="N579" s="1023"/>
      <c r="O579" s="1023"/>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19.5" customHeight="1" x14ac:dyDescent="0.3">
      <c r="B580" s="198"/>
      <c r="C580" s="1022"/>
      <c r="D580" s="1023"/>
      <c r="E580" s="1023"/>
      <c r="F580" s="1023"/>
      <c r="G580" s="1023"/>
      <c r="H580" s="1023"/>
      <c r="I580" s="1023"/>
      <c r="J580" s="1023"/>
      <c r="K580" s="1023"/>
      <c r="L580" s="1023"/>
      <c r="M580" s="1023"/>
      <c r="N580" s="1023"/>
      <c r="O580" s="1023"/>
      <c r="P580" s="21">
        <f>IF(R580=2,0.35,0)</f>
        <v>0</v>
      </c>
      <c r="R580" s="555">
        <v>1</v>
      </c>
      <c r="S580" s="10"/>
      <c r="T580" s="10"/>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9.5" customHeight="1" x14ac:dyDescent="0.3">
      <c r="B581" s="386"/>
      <c r="C581" s="1022"/>
      <c r="D581" s="1023"/>
      <c r="E581" s="1023"/>
      <c r="F581" s="1023"/>
      <c r="G581" s="1023"/>
      <c r="H581" s="1023"/>
      <c r="I581" s="1023"/>
      <c r="J581" s="1023"/>
      <c r="K581" s="1023"/>
      <c r="L581" s="1023"/>
      <c r="M581" s="1023"/>
      <c r="N581" s="1023"/>
      <c r="O581" s="1023"/>
      <c r="P581" s="21">
        <f>IF(R581=2,0.15,0)</f>
        <v>0</v>
      </c>
      <c r="R581" s="555">
        <v>1</v>
      </c>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3">
      <c r="B582" s="792"/>
      <c r="C582" s="792"/>
      <c r="D582" s="792"/>
      <c r="E582" s="792"/>
      <c r="F582" s="792"/>
      <c r="G582" s="792"/>
      <c r="H582" s="792"/>
      <c r="I582" s="792"/>
      <c r="J582" s="792"/>
      <c r="K582" s="792"/>
      <c r="L582" s="792"/>
      <c r="M582" s="792"/>
      <c r="N582" s="792"/>
      <c r="O582" s="792"/>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5" customHeight="1" x14ac:dyDescent="0.3">
      <c r="B583" s="932" t="s">
        <v>472</v>
      </c>
      <c r="C583" s="932"/>
      <c r="D583" s="932"/>
      <c r="E583" s="932"/>
      <c r="F583" s="932"/>
      <c r="G583" s="932"/>
      <c r="H583" s="932"/>
      <c r="I583" s="932"/>
      <c r="J583" s="932"/>
      <c r="K583" s="932"/>
      <c r="L583" s="932"/>
      <c r="M583" s="932"/>
      <c r="N583" s="932"/>
      <c r="O583" s="317"/>
      <c r="P583" s="21">
        <f>SUMIF(S583:W583,O583,S584:W584)</f>
        <v>0</v>
      </c>
      <c r="R583" s="1139" t="s">
        <v>2215</v>
      </c>
      <c r="S583" s="50" t="s">
        <v>1968</v>
      </c>
      <c r="T583" s="50" t="s">
        <v>1969</v>
      </c>
      <c r="U583" s="147" t="s">
        <v>1971</v>
      </c>
      <c r="V583" s="50" t="s">
        <v>945</v>
      </c>
      <c r="W583" s="147" t="s">
        <v>558</v>
      </c>
      <c r="X583" s="1142" t="s">
        <v>2216</v>
      </c>
      <c r="Y583" s="1142"/>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3">
      <c r="B584" s="932" t="s">
        <v>1498</v>
      </c>
      <c r="C584" s="932"/>
      <c r="D584" s="932"/>
      <c r="E584" s="932"/>
      <c r="F584" s="932"/>
      <c r="G584" s="932"/>
      <c r="H584" s="932"/>
      <c r="I584" s="932"/>
      <c r="J584" s="932"/>
      <c r="K584" s="932"/>
      <c r="L584" s="932"/>
      <c r="M584" s="932"/>
      <c r="N584" s="932"/>
      <c r="O584" s="317"/>
      <c r="P584" s="21">
        <f>SUMIF(Z583:AD583,O584,Z584:AD584)</f>
        <v>0</v>
      </c>
      <c r="R584" s="1139"/>
      <c r="S584" s="147">
        <v>0.03</v>
      </c>
      <c r="T584" s="147">
        <v>0.15</v>
      </c>
      <c r="U584" s="147">
        <v>0.38</v>
      </c>
      <c r="V584" s="147">
        <v>0.68</v>
      </c>
      <c r="W584" s="147">
        <v>0.9</v>
      </c>
      <c r="X584" s="1142"/>
      <c r="Y584" s="1142"/>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3">
      <c r="B585" s="792"/>
      <c r="C585" s="792"/>
      <c r="D585" s="792"/>
      <c r="E585" s="792"/>
      <c r="F585" s="792"/>
      <c r="G585" s="792"/>
      <c r="H585" s="792"/>
      <c r="I585" s="792"/>
      <c r="J585" s="792"/>
      <c r="K585" s="792"/>
      <c r="L585" s="792"/>
      <c r="M585" s="792"/>
      <c r="N585" s="792"/>
      <c r="O585" s="792"/>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8" customHeight="1" x14ac:dyDescent="0.3">
      <c r="B586" s="927" t="s">
        <v>890</v>
      </c>
      <c r="C586" s="925"/>
      <c r="D586" s="925"/>
      <c r="E586" s="925"/>
      <c r="F586" s="925"/>
      <c r="G586" s="925"/>
      <c r="H586" s="925"/>
      <c r="I586" s="925"/>
      <c r="J586" s="925"/>
      <c r="K586" s="925"/>
      <c r="L586" s="925"/>
      <c r="M586" s="925"/>
      <c r="N586" s="925"/>
      <c r="O586" s="925"/>
      <c r="P586" s="925"/>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41.25" customHeight="1" x14ac:dyDescent="0.3">
      <c r="B587" s="776" t="s">
        <v>1679</v>
      </c>
      <c r="C587" s="776"/>
      <c r="D587" s="776"/>
      <c r="E587" s="776"/>
      <c r="F587" s="776"/>
      <c r="G587" s="776"/>
      <c r="H587" s="776"/>
      <c r="I587" s="776"/>
      <c r="J587" s="776"/>
      <c r="K587" s="776"/>
      <c r="L587" s="776"/>
      <c r="M587" s="776"/>
      <c r="N587" s="776"/>
      <c r="O587" s="776"/>
      <c r="P587" s="925"/>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3">
      <c r="A588" s="15"/>
      <c r="B588" s="806" t="s">
        <v>948</v>
      </c>
      <c r="C588" s="806"/>
      <c r="D588" s="806"/>
      <c r="E588" s="806"/>
      <c r="F588" s="806"/>
      <c r="G588" s="806"/>
      <c r="H588" s="806"/>
      <c r="I588" s="806"/>
      <c r="J588" s="806"/>
      <c r="K588" s="806"/>
      <c r="L588" s="1023"/>
      <c r="M588" s="1023"/>
      <c r="N588" s="1023"/>
      <c r="O588" s="1023"/>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2" customHeight="1" x14ac:dyDescent="0.3">
      <c r="B589" s="792"/>
      <c r="C589" s="792"/>
      <c r="D589" s="792"/>
      <c r="E589" s="792"/>
      <c r="F589" s="792"/>
      <c r="G589" s="792"/>
      <c r="H589" s="792"/>
      <c r="I589" s="792"/>
      <c r="J589" s="792"/>
      <c r="K589" s="792"/>
      <c r="L589" s="792"/>
      <c r="M589" s="792"/>
      <c r="N589" s="792"/>
      <c r="O589" s="792"/>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8" customHeight="1" x14ac:dyDescent="0.3">
      <c r="B590" s="927" t="s">
        <v>1273</v>
      </c>
      <c r="C590" s="925"/>
      <c r="D590" s="925"/>
      <c r="E590" s="925"/>
      <c r="F590" s="925"/>
      <c r="G590" s="925"/>
      <c r="H590" s="925"/>
      <c r="I590" s="925"/>
      <c r="J590" s="925"/>
      <c r="K590" s="925"/>
      <c r="L590" s="925"/>
      <c r="M590" s="925"/>
      <c r="N590" s="925"/>
      <c r="O590" s="925"/>
      <c r="P590" s="845"/>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33" customHeight="1" x14ac:dyDescent="0.3">
      <c r="B591" s="776" t="s">
        <v>1645</v>
      </c>
      <c r="C591" s="776"/>
      <c r="D591" s="776"/>
      <c r="E591" s="776"/>
      <c r="F591" s="776"/>
      <c r="G591" s="776"/>
      <c r="H591" s="776"/>
      <c r="I591" s="776"/>
      <c r="J591" s="776"/>
      <c r="K591" s="776"/>
      <c r="L591" s="776"/>
      <c r="M591" s="776"/>
      <c r="N591" s="776"/>
      <c r="O591" s="776"/>
      <c r="P591" s="847"/>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28.5" customHeight="1" x14ac:dyDescent="0.3">
      <c r="B592" s="1014"/>
      <c r="C592" s="1014"/>
      <c r="D592" s="1014"/>
      <c r="E592" s="1014"/>
      <c r="F592" s="1014"/>
      <c r="G592" s="1014"/>
      <c r="H592" s="1014"/>
      <c r="I592" s="1014"/>
      <c r="J592" s="1014"/>
      <c r="K592" s="1014"/>
      <c r="L592" s="1014"/>
      <c r="M592" s="1014"/>
      <c r="N592" s="1014"/>
      <c r="O592" s="1014"/>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2:109" ht="12" customHeight="1" x14ac:dyDescent="0.3">
      <c r="B593" s="792"/>
      <c r="C593" s="792"/>
      <c r="D593" s="792"/>
      <c r="E593" s="792"/>
      <c r="F593" s="792"/>
      <c r="G593" s="792"/>
      <c r="H593" s="792"/>
      <c r="I593" s="792"/>
      <c r="J593" s="792"/>
      <c r="K593" s="792"/>
      <c r="L593" s="792"/>
      <c r="M593" s="792"/>
      <c r="N593" s="792"/>
      <c r="O593" s="792"/>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2:109" ht="27" customHeight="1" x14ac:dyDescent="0.3">
      <c r="B594" s="1030" t="s">
        <v>1274</v>
      </c>
      <c r="C594" s="1031"/>
      <c r="D594" s="1031"/>
      <c r="E594" s="1031"/>
      <c r="F594" s="1032"/>
      <c r="G594" s="926" t="s">
        <v>1524</v>
      </c>
      <c r="H594" s="941"/>
      <c r="I594" s="941"/>
      <c r="J594" s="941"/>
      <c r="K594" s="1003" t="str">
        <f>IF(AND(G596&gt;0,AA597=1),"Ankylosis cannot be apportioned.","")</f>
        <v/>
      </c>
      <c r="L594" s="1004"/>
      <c r="M594" s="1004"/>
      <c r="N594" s="1004"/>
      <c r="O594" s="1005"/>
      <c r="P594" s="872">
        <f>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2:109" ht="15.75" customHeight="1" x14ac:dyDescent="0.3">
      <c r="B595" s="806" t="s">
        <v>628</v>
      </c>
      <c r="C595" s="806"/>
      <c r="D595" s="806"/>
      <c r="E595" s="770">
        <f>P558</f>
        <v>0</v>
      </c>
      <c r="F595" s="770"/>
      <c r="G595" s="925" t="s">
        <v>1941</v>
      </c>
      <c r="H595" s="925"/>
      <c r="I595" s="1029"/>
      <c r="J595" s="1037"/>
      <c r="K595" s="1006"/>
      <c r="L595" s="1007"/>
      <c r="M595" s="1007"/>
      <c r="N595" s="1007"/>
      <c r="O595" s="1008"/>
      <c r="P595" s="1010"/>
      <c r="R595" s="557">
        <f t="shared" ref="R595:R602" si="90">E595</f>
        <v>0</v>
      </c>
      <c r="S595" s="147">
        <f>LARGE($R$595:$R$608,1)</f>
        <v>0</v>
      </c>
      <c r="T595" s="553">
        <f>S595+S596*(1-S595)</f>
        <v>0</v>
      </c>
      <c r="U595" s="557">
        <f t="shared" ref="U595:U607" si="91">ROUND(T595,2)</f>
        <v>0</v>
      </c>
      <c r="Y595" s="10" t="s">
        <v>511</v>
      </c>
      <c r="AA595" s="792"/>
      <c r="AB595" s="792"/>
      <c r="AC595" s="792"/>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2:109" ht="15" customHeight="1" x14ac:dyDescent="0.3">
      <c r="B596" s="806" t="s">
        <v>1958</v>
      </c>
      <c r="C596" s="806"/>
      <c r="D596" s="806"/>
      <c r="E596" s="770">
        <f>IF(E607&gt;0,0,P570)</f>
        <v>0</v>
      </c>
      <c r="F596" s="770"/>
      <c r="G596" s="1028"/>
      <c r="H596" s="1028"/>
      <c r="I596" s="936">
        <f>IF(AND(Y596&lt;0.01,Y596&gt;0),0.01,ROUND(Y596,2))</f>
        <v>0</v>
      </c>
      <c r="J596" s="753"/>
      <c r="K596" s="1006"/>
      <c r="L596" s="1007"/>
      <c r="M596" s="1007"/>
      <c r="N596" s="1007"/>
      <c r="O596" s="1008"/>
      <c r="P596" s="1010"/>
      <c r="R596" s="557">
        <f>IF(I596&gt;0,I596,E596)</f>
        <v>0</v>
      </c>
      <c r="S596" s="147">
        <f>LARGE($R$595:$R$608,2)</f>
        <v>0</v>
      </c>
      <c r="T596" s="553">
        <f>U595+S597*(1-U595)</f>
        <v>0</v>
      </c>
      <c r="U596" s="557">
        <f t="shared" si="91"/>
        <v>0</v>
      </c>
      <c r="Y596" s="191">
        <f>IF(AA597&gt;0,0,E596*G596)</f>
        <v>0</v>
      </c>
      <c r="Z596" s="604"/>
      <c r="AA596" s="792"/>
      <c r="AB596" s="792"/>
      <c r="AC596" s="792"/>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2:109" ht="15" customHeight="1" x14ac:dyDescent="0.3">
      <c r="B597" s="806" t="s">
        <v>718</v>
      </c>
      <c r="C597" s="806"/>
      <c r="D597" s="806"/>
      <c r="E597" s="770">
        <f>P573</f>
        <v>0</v>
      </c>
      <c r="F597" s="770"/>
      <c r="G597" s="925" t="s">
        <v>1941</v>
      </c>
      <c r="H597" s="925"/>
      <c r="I597" s="1029"/>
      <c r="J597" s="1029"/>
      <c r="K597" s="1128"/>
      <c r="L597" s="1129"/>
      <c r="M597" s="1129"/>
      <c r="N597" s="1129"/>
      <c r="O597" s="1130"/>
      <c r="P597" s="1010"/>
      <c r="R597" s="557">
        <f t="shared" si="90"/>
        <v>0</v>
      </c>
      <c r="S597" s="147">
        <f>LARGE($R$595:$R$608,3)</f>
        <v>0</v>
      </c>
      <c r="T597" s="553">
        <f>U596+S598*(1-U596)</f>
        <v>0</v>
      </c>
      <c r="U597" s="557">
        <f t="shared" si="91"/>
        <v>0</v>
      </c>
      <c r="Y597" s="192"/>
      <c r="Z597" s="604"/>
      <c r="AA597" s="50">
        <f>IF(P592&gt;0,0,IF(AC565&gt;0,1,0))</f>
        <v>0</v>
      </c>
      <c r="AB597" s="806" t="s">
        <v>814</v>
      </c>
      <c r="AC597" s="806"/>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2:109" ht="15" customHeight="1" x14ac:dyDescent="0.3">
      <c r="B598" s="806" t="s">
        <v>390</v>
      </c>
      <c r="C598" s="806"/>
      <c r="D598" s="806"/>
      <c r="E598" s="770">
        <f>P575</f>
        <v>0</v>
      </c>
      <c r="F598" s="770"/>
      <c r="G598" s="925" t="s">
        <v>1941</v>
      </c>
      <c r="H598" s="925"/>
      <c r="I598" s="1029"/>
      <c r="J598" s="1029"/>
      <c r="K598" s="1128"/>
      <c r="L598" s="1129"/>
      <c r="M598" s="1129"/>
      <c r="N598" s="1129"/>
      <c r="O598" s="1130"/>
      <c r="P598" s="1010"/>
      <c r="R598" s="557">
        <f t="shared" si="90"/>
        <v>0</v>
      </c>
      <c r="S598" s="147">
        <f>LARGE($R$595:$R$608,4)</f>
        <v>0</v>
      </c>
      <c r="T598" s="553">
        <f>U597+S600*(1-U597)</f>
        <v>0</v>
      </c>
      <c r="U598" s="557">
        <f t="shared" si="91"/>
        <v>0</v>
      </c>
      <c r="V598" s="10"/>
      <c r="W598" s="10"/>
      <c r="X598" s="10"/>
      <c r="Y598" s="192"/>
      <c r="Z598" s="604"/>
      <c r="AA598" s="10"/>
      <c r="AB598" s="739"/>
      <c r="AC598" s="739"/>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2:109" ht="15" customHeight="1" x14ac:dyDescent="0.3">
      <c r="B599" s="776" t="s">
        <v>796</v>
      </c>
      <c r="C599" s="806"/>
      <c r="D599" s="806"/>
      <c r="E599" s="742">
        <f>P577</f>
        <v>0</v>
      </c>
      <c r="F599" s="744"/>
      <c r="G599" s="925" t="s">
        <v>1941</v>
      </c>
      <c r="H599" s="925"/>
      <c r="I599" s="1029"/>
      <c r="J599" s="1029"/>
      <c r="K599" s="1128"/>
      <c r="L599" s="1129"/>
      <c r="M599" s="1129"/>
      <c r="N599" s="1129"/>
      <c r="O599" s="1130"/>
      <c r="P599" s="1010"/>
      <c r="R599" s="557">
        <f t="shared" si="90"/>
        <v>0</v>
      </c>
      <c r="S599" s="147">
        <f>LARGE($R$595:$R$608,5)</f>
        <v>0</v>
      </c>
      <c r="T599" s="553">
        <f t="shared" ref="T599:T607" si="92">U598+S601*(1-U598)</f>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2:109" ht="15" customHeight="1" x14ac:dyDescent="0.3">
      <c r="B600" s="806" t="s">
        <v>391</v>
      </c>
      <c r="C600" s="806"/>
      <c r="D600" s="806"/>
      <c r="E600" s="770">
        <f>P579</f>
        <v>0</v>
      </c>
      <c r="F600" s="770"/>
      <c r="G600" s="925" t="s">
        <v>1941</v>
      </c>
      <c r="H600" s="925"/>
      <c r="I600" s="1029"/>
      <c r="J600" s="1029"/>
      <c r="K600" s="1128"/>
      <c r="L600" s="1129"/>
      <c r="M600" s="1129"/>
      <c r="N600" s="1129"/>
      <c r="O600" s="1130"/>
      <c r="P600" s="1010"/>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2:109" ht="15" customHeight="1" x14ac:dyDescent="0.3">
      <c r="B601" s="806" t="s">
        <v>392</v>
      </c>
      <c r="C601" s="806"/>
      <c r="D601" s="806"/>
      <c r="E601" s="770">
        <f>P580</f>
        <v>0</v>
      </c>
      <c r="F601" s="770"/>
      <c r="G601" s="925" t="s">
        <v>1941</v>
      </c>
      <c r="H601" s="925"/>
      <c r="I601" s="1029"/>
      <c r="J601" s="1029"/>
      <c r="K601" s="1128"/>
      <c r="L601" s="1129"/>
      <c r="M601" s="1129"/>
      <c r="N601" s="1129"/>
      <c r="O601" s="1130"/>
      <c r="P601" s="1010"/>
      <c r="R601" s="557">
        <f t="shared" si="90"/>
        <v>0</v>
      </c>
      <c r="S601" s="147">
        <f>LARGE($R$595:$R$608,7)</f>
        <v>0</v>
      </c>
      <c r="T601" s="553">
        <f t="shared" si="92"/>
        <v>0</v>
      </c>
      <c r="U601" s="557">
        <f t="shared" si="91"/>
        <v>0</v>
      </c>
      <c r="W601" s="10"/>
      <c r="X601" s="10"/>
      <c r="Y601" s="192"/>
      <c r="Z601" s="10"/>
      <c r="AA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2:109" ht="15" customHeight="1" x14ac:dyDescent="0.3">
      <c r="B602" s="806" t="s">
        <v>393</v>
      </c>
      <c r="C602" s="806"/>
      <c r="D602" s="806"/>
      <c r="E602" s="770">
        <f>P581</f>
        <v>0</v>
      </c>
      <c r="F602" s="770"/>
      <c r="G602" s="925" t="s">
        <v>1941</v>
      </c>
      <c r="H602" s="925"/>
      <c r="I602" s="1029"/>
      <c r="J602" s="1029"/>
      <c r="K602" s="633"/>
      <c r="L602" s="634"/>
      <c r="M602" s="634"/>
      <c r="N602" s="634"/>
      <c r="O602" s="635"/>
      <c r="P602" s="1010"/>
      <c r="R602" s="557">
        <f t="shared" si="90"/>
        <v>0</v>
      </c>
      <c r="S602" s="147">
        <f>LARGE($R$595:$R$608,8)</f>
        <v>0</v>
      </c>
      <c r="T602" s="553">
        <f t="shared" si="92"/>
        <v>0</v>
      </c>
      <c r="U602" s="557">
        <f t="shared" si="91"/>
        <v>0</v>
      </c>
      <c r="W602" s="10"/>
      <c r="X602" s="10"/>
      <c r="Y602" s="192"/>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2:109" ht="15.75" customHeight="1" x14ac:dyDescent="0.3">
      <c r="B603" s="806" t="s">
        <v>1029</v>
      </c>
      <c r="C603" s="806"/>
      <c r="D603" s="806"/>
      <c r="E603" s="770">
        <f>P583</f>
        <v>0</v>
      </c>
      <c r="F603" s="770"/>
      <c r="G603" s="1028"/>
      <c r="H603" s="1028"/>
      <c r="I603" s="936">
        <f t="shared" ref="I603:I607" si="93">IF(AND(Y603&lt;0.01,Y603&gt;0),0.01,ROUND(Y603,2))</f>
        <v>0</v>
      </c>
      <c r="J603" s="936"/>
      <c r="K603" s="1006" t="str">
        <f>IF(AND(OR(P570&gt;0,P510&gt;0,P588&gt;0),E607&gt;0),"A value has been granted for motor loss. Additional impairment values are not allowed for weakness, chronic condition, or reduced range of motion in the same extremity.","")</f>
        <v/>
      </c>
      <c r="L603" s="1007"/>
      <c r="M603" s="1007"/>
      <c r="N603" s="1007"/>
      <c r="O603" s="1008"/>
      <c r="P603" s="1010"/>
      <c r="R603" s="557">
        <f t="shared" ref="R603:R607" si="94">IF(I603&gt;0,I603,E603)</f>
        <v>0</v>
      </c>
      <c r="S603" s="147">
        <f>LARGE($R$595:$R$608,9)</f>
        <v>0</v>
      </c>
      <c r="T603" s="553">
        <f t="shared" si="92"/>
        <v>0</v>
      </c>
      <c r="U603" s="557">
        <f t="shared" si="91"/>
        <v>0</v>
      </c>
      <c r="V603" s="10"/>
      <c r="W603" s="10"/>
      <c r="X603" s="10"/>
      <c r="Y603" s="191">
        <f>E603*G603</f>
        <v>0</v>
      </c>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2:109" ht="15.75" customHeight="1" x14ac:dyDescent="0.3">
      <c r="B604" s="806" t="s">
        <v>1253</v>
      </c>
      <c r="C604" s="806"/>
      <c r="D604" s="806"/>
      <c r="E604" s="770">
        <f>P584</f>
        <v>0</v>
      </c>
      <c r="F604" s="770"/>
      <c r="G604" s="1028"/>
      <c r="H604" s="1028"/>
      <c r="I604" s="936">
        <f t="shared" si="93"/>
        <v>0</v>
      </c>
      <c r="J604" s="936"/>
      <c r="K604" s="1006"/>
      <c r="L604" s="1007"/>
      <c r="M604" s="1007"/>
      <c r="N604" s="1007"/>
      <c r="O604" s="1008"/>
      <c r="P604" s="1010"/>
      <c r="R604" s="557">
        <f t="shared" si="94"/>
        <v>0</v>
      </c>
      <c r="S604" s="147">
        <f>LARGE($R$595:$R$608,10)</f>
        <v>0</v>
      </c>
      <c r="T604" s="553">
        <f t="shared" si="92"/>
        <v>0</v>
      </c>
      <c r="U604" s="557">
        <f t="shared" si="91"/>
        <v>0</v>
      </c>
      <c r="V604" s="10"/>
      <c r="W604" s="10"/>
      <c r="X604" s="10"/>
      <c r="Y604" s="191">
        <f t="shared" ref="Y604:Y607" si="95">E604*G604</f>
        <v>0</v>
      </c>
      <c r="Z604" s="10"/>
      <c r="AA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2:109" ht="15.75" customHeight="1" x14ac:dyDescent="0.3">
      <c r="B605" s="806" t="s">
        <v>1638</v>
      </c>
      <c r="C605" s="806"/>
      <c r="D605" s="806"/>
      <c r="E605" s="770">
        <f>IF(E607&gt;0,0,P510)</f>
        <v>0</v>
      </c>
      <c r="F605" s="770"/>
      <c r="G605" s="1028"/>
      <c r="H605" s="1028"/>
      <c r="I605" s="936">
        <f t="shared" si="93"/>
        <v>0</v>
      </c>
      <c r="J605" s="936"/>
      <c r="K605" s="1006"/>
      <c r="L605" s="1007"/>
      <c r="M605" s="1007"/>
      <c r="N605" s="1007"/>
      <c r="O605" s="1008"/>
      <c r="P605" s="1010"/>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2:109" ht="15" customHeight="1" x14ac:dyDescent="0.3">
      <c r="B606" s="806" t="s">
        <v>596</v>
      </c>
      <c r="C606" s="806"/>
      <c r="D606" s="806"/>
      <c r="E606" s="770">
        <f>IF(E607&gt;0,0,P588)</f>
        <v>0</v>
      </c>
      <c r="F606" s="770"/>
      <c r="G606" s="1028"/>
      <c r="H606" s="1028"/>
      <c r="I606" s="936">
        <f t="shared" si="93"/>
        <v>0</v>
      </c>
      <c r="J606" s="936"/>
      <c r="K606" s="1006"/>
      <c r="L606" s="1007"/>
      <c r="M606" s="1007"/>
      <c r="N606" s="1007"/>
      <c r="O606" s="1008"/>
      <c r="P606" s="1010"/>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2:109" ht="15" customHeight="1" x14ac:dyDescent="0.3">
      <c r="B607" s="806" t="s">
        <v>926</v>
      </c>
      <c r="C607" s="806"/>
      <c r="D607" s="806"/>
      <c r="E607" s="770">
        <f>P592</f>
        <v>0</v>
      </c>
      <c r="F607" s="746"/>
      <c r="G607" s="1028"/>
      <c r="H607" s="1028"/>
      <c r="I607" s="936">
        <f t="shared" si="93"/>
        <v>0</v>
      </c>
      <c r="J607" s="936"/>
      <c r="K607" s="1006"/>
      <c r="L607" s="1007"/>
      <c r="M607" s="1007"/>
      <c r="N607" s="1007"/>
      <c r="O607" s="1008"/>
      <c r="P607" s="1010"/>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2:109" ht="15" customHeight="1" x14ac:dyDescent="0.3">
      <c r="B608" s="1048" t="s">
        <v>797</v>
      </c>
      <c r="C608" s="1048"/>
      <c r="D608" s="1048"/>
      <c r="E608" s="1015">
        <f>IF(SUM(E595:E607)&gt;0,UETable!AV97,0)</f>
        <v>0</v>
      </c>
      <c r="F608" s="873"/>
      <c r="G608" s="925" t="s">
        <v>1941</v>
      </c>
      <c r="H608" s="925"/>
      <c r="I608" s="1029"/>
      <c r="J608" s="1029"/>
      <c r="K608" s="1112"/>
      <c r="L608" s="1113"/>
      <c r="M608" s="1113"/>
      <c r="N608" s="1113"/>
      <c r="O608" s="1114"/>
      <c r="P608" s="1010"/>
      <c r="R608" s="557">
        <f>E608</f>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3">
      <c r="B609" s="958" t="s">
        <v>1275</v>
      </c>
      <c r="C609" s="958"/>
      <c r="D609" s="958"/>
      <c r="E609" s="958"/>
      <c r="F609" s="958"/>
      <c r="G609" s="958"/>
      <c r="H609" s="958"/>
      <c r="I609" s="958"/>
      <c r="J609" s="958"/>
      <c r="K609" s="958"/>
      <c r="L609" s="958"/>
      <c r="M609" s="958"/>
      <c r="N609" s="958"/>
      <c r="O609" s="958"/>
      <c r="P609" s="996"/>
      <c r="R609" s="14"/>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2" customHeight="1" x14ac:dyDescent="0.3">
      <c r="B610" s="792"/>
      <c r="C610" s="792"/>
      <c r="D610" s="792"/>
      <c r="E610" s="792"/>
      <c r="F610" s="792"/>
      <c r="G610" s="792"/>
      <c r="H610" s="792"/>
      <c r="I610" s="792"/>
      <c r="J610" s="792"/>
      <c r="K610" s="792"/>
      <c r="L610" s="792"/>
      <c r="M610" s="792"/>
      <c r="N610" s="792"/>
      <c r="O610" s="792"/>
      <c r="P610" s="792"/>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2" customHeight="1" x14ac:dyDescent="0.3">
      <c r="B611" s="1"/>
      <c r="D611" s="1"/>
      <c r="E611" s="1"/>
      <c r="F611" s="1"/>
      <c r="G611" s="1"/>
      <c r="H611" s="1"/>
      <c r="I611" s="1"/>
      <c r="J611" s="1"/>
      <c r="K611" s="1"/>
      <c r="L611" s="1"/>
      <c r="M611" s="1"/>
      <c r="N611" s="1"/>
      <c r="O611" s="1"/>
      <c r="P611" s="1"/>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36" customHeight="1" x14ac:dyDescent="0.3">
      <c r="B612" s="922" t="s">
        <v>187</v>
      </c>
      <c r="C612" s="941"/>
      <c r="D612" s="941"/>
      <c r="E612" s="941"/>
      <c r="F612" s="941"/>
      <c r="G612" s="941"/>
      <c r="H612" s="941"/>
      <c r="I612" s="941"/>
      <c r="J612" s="941"/>
      <c r="K612" s="941"/>
      <c r="L612" s="941"/>
      <c r="M612" s="941"/>
      <c r="N612" s="941"/>
      <c r="O612" s="941"/>
      <c r="P612" s="942"/>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2" customHeight="1" x14ac:dyDescent="0.3">
      <c r="B613" s="712"/>
      <c r="C613" s="712"/>
      <c r="D613" s="712"/>
      <c r="E613" s="712"/>
      <c r="F613" s="712"/>
      <c r="G613" s="712"/>
      <c r="H613" s="712"/>
      <c r="I613" s="712"/>
      <c r="J613" s="712"/>
      <c r="K613" s="712"/>
      <c r="L613" s="712"/>
      <c r="M613" s="712"/>
      <c r="N613" s="712"/>
      <c r="O613" s="712"/>
      <c r="P613" s="712"/>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30.75" customHeight="1" x14ac:dyDescent="0.3">
      <c r="B614" s="776" t="s">
        <v>409</v>
      </c>
      <c r="C614" s="776"/>
      <c r="D614" s="776"/>
      <c r="E614" s="776"/>
      <c r="F614" s="776"/>
      <c r="G614" s="776"/>
      <c r="H614" s="776"/>
      <c r="I614" s="776"/>
      <c r="J614" s="776"/>
      <c r="K614" s="776"/>
      <c r="L614" s="776"/>
      <c r="M614" s="950"/>
      <c r="N614" s="950"/>
      <c r="O614" s="950"/>
      <c r="P614" s="95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37.5" customHeight="1" x14ac:dyDescent="0.3">
      <c r="B615" s="146"/>
      <c r="C615" s="927" t="s">
        <v>1795</v>
      </c>
      <c r="D615" s="925"/>
      <c r="E615" s="146"/>
      <c r="F615" s="922" t="s">
        <v>1276</v>
      </c>
      <c r="G615" s="923"/>
      <c r="H615" s="30"/>
      <c r="I615" s="925" t="s">
        <v>1795</v>
      </c>
      <c r="J615" s="925"/>
      <c r="K615" s="925"/>
      <c r="L615" s="925"/>
      <c r="M615" s="927" t="s">
        <v>1737</v>
      </c>
      <c r="N615" s="927"/>
      <c r="O615" s="927"/>
      <c r="P615" s="927"/>
      <c r="R615" s="10"/>
      <c r="S615" s="50" t="s">
        <v>1736</v>
      </c>
      <c r="T615" s="50" t="s">
        <v>1306</v>
      </c>
      <c r="U615" s="503"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8" customHeight="1" x14ac:dyDescent="0.3">
      <c r="B616" s="146" t="s">
        <v>1936</v>
      </c>
      <c r="C616" s="770">
        <f>P60</f>
        <v>0</v>
      </c>
      <c r="D616" s="746"/>
      <c r="E616" s="18" t="s">
        <v>1790</v>
      </c>
      <c r="F616" s="1027">
        <v>0.15</v>
      </c>
      <c r="G616" s="1027"/>
      <c r="H616" s="18" t="s">
        <v>1792</v>
      </c>
      <c r="I616" s="936">
        <f>IF(C626&lt;R1,"DOI&lt;2005",IF($P$518&gt;0,0,T616))</f>
        <v>0</v>
      </c>
      <c r="J616" s="936"/>
      <c r="K616" s="936"/>
      <c r="L616" s="936"/>
      <c r="M616" s="1046" t="str">
        <f>IF(C616=0,"",IF($P$518&gt;0,"Converted",""))</f>
        <v/>
      </c>
      <c r="N616" s="1046"/>
      <c r="O616" s="1046"/>
      <c r="P616" s="1046"/>
      <c r="R616" s="10"/>
      <c r="S616" s="590">
        <f>IF(AND(C616*F616&gt;0,C616*F616&lt;0.01),0.01,C616*F616)</f>
        <v>0</v>
      </c>
      <c r="T616" s="147">
        <f t="shared" ref="T616:T622" si="96">ROUND(S616,2)</f>
        <v>0</v>
      </c>
      <c r="U616" s="572">
        <f>SUM(E528:E553)</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8" customHeight="1" x14ac:dyDescent="0.3">
      <c r="B617" s="146" t="s">
        <v>115</v>
      </c>
      <c r="C617" s="770">
        <f>P137</f>
        <v>0</v>
      </c>
      <c r="D617" s="746"/>
      <c r="E617" s="18" t="s">
        <v>1790</v>
      </c>
      <c r="F617" s="1027">
        <v>0.08</v>
      </c>
      <c r="G617" s="1027"/>
      <c r="H617" s="18" t="s">
        <v>1792</v>
      </c>
      <c r="I617" s="936">
        <f>IF(C626&lt;R1,"DOI&lt;2005",IF($P$518&gt;0,0,T617))</f>
        <v>0</v>
      </c>
      <c r="J617" s="936"/>
      <c r="K617" s="936"/>
      <c r="L617" s="936"/>
      <c r="M617" s="1046" t="str">
        <f>IF(C617=0,"",IF($P$518&gt;0,"Converted",""))</f>
        <v/>
      </c>
      <c r="N617" s="1046"/>
      <c r="O617" s="1046"/>
      <c r="P617" s="1046"/>
      <c r="R617" s="10"/>
      <c r="S617" s="590">
        <f t="shared" ref="S617:S622" si="97">IF(AND(C617*F617&gt;0,C617*F617&lt;0.01),0.01,C617*F617)</f>
        <v>0</v>
      </c>
      <c r="T617" s="147">
        <f t="shared" si="96"/>
        <v>0</v>
      </c>
      <c r="U617" s="572">
        <f>SUM(E595:E607)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8" customHeight="1" x14ac:dyDescent="0.3">
      <c r="B618" s="146" t="s">
        <v>117</v>
      </c>
      <c r="C618" s="770">
        <f>P214</f>
        <v>0</v>
      </c>
      <c r="D618" s="746"/>
      <c r="E618" s="18" t="s">
        <v>1790</v>
      </c>
      <c r="F618" s="1027">
        <v>7.0000000000000007E-2</v>
      </c>
      <c r="G618" s="1027"/>
      <c r="H618" s="18" t="s">
        <v>1792</v>
      </c>
      <c r="I618" s="936">
        <f>IF(C626&lt;R1,"DOI&lt;2005",IF($P$518&gt;0,0,T618))</f>
        <v>0</v>
      </c>
      <c r="J618" s="936"/>
      <c r="K618" s="936"/>
      <c r="L618" s="936"/>
      <c r="M618" s="1046" t="str">
        <f>IF(C618=0,"",IF($P$518&gt;0,"Converted",""))</f>
        <v/>
      </c>
      <c r="N618" s="1046"/>
      <c r="O618" s="1046"/>
      <c r="P618" s="1046"/>
      <c r="R618" s="10"/>
      <c r="S618" s="590">
        <f t="shared" si="97"/>
        <v>0</v>
      </c>
      <c r="T618" s="147">
        <f t="shared" si="96"/>
        <v>0</v>
      </c>
      <c r="U618" s="601">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8" customHeight="1" x14ac:dyDescent="0.3">
      <c r="B619" s="146" t="s">
        <v>119</v>
      </c>
      <c r="C619" s="770">
        <f>P289</f>
        <v>0</v>
      </c>
      <c r="D619" s="746"/>
      <c r="E619" s="18" t="s">
        <v>1790</v>
      </c>
      <c r="F619" s="1027">
        <v>0.03</v>
      </c>
      <c r="G619" s="1027"/>
      <c r="H619" s="18" t="s">
        <v>1792</v>
      </c>
      <c r="I619" s="936">
        <f>IF(C626&lt;R1,"DOI&lt;2005",IF($P$518&gt;0,0,T619))</f>
        <v>0</v>
      </c>
      <c r="J619" s="936"/>
      <c r="K619" s="936"/>
      <c r="L619" s="936"/>
      <c r="M619" s="1046" t="str">
        <f>IF(C619=0,"",IF($P$518&gt;0,"Converted",""))</f>
        <v/>
      </c>
      <c r="N619" s="1046"/>
      <c r="O619" s="1046"/>
      <c r="P619" s="1046"/>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18" customHeight="1" x14ac:dyDescent="0.3">
      <c r="B620" s="146" t="s">
        <v>1389</v>
      </c>
      <c r="C620" s="770">
        <f>P364</f>
        <v>0</v>
      </c>
      <c r="D620" s="746"/>
      <c r="E620" s="18" t="s">
        <v>1790</v>
      </c>
      <c r="F620" s="1027">
        <v>0.02</v>
      </c>
      <c r="G620" s="1027"/>
      <c r="H620" s="18" t="s">
        <v>1792</v>
      </c>
      <c r="I620" s="936">
        <f>IF(C626&lt;R1,"DOI&lt;2005",IF($P$518&gt;0,0,T620))</f>
        <v>0</v>
      </c>
      <c r="J620" s="936"/>
      <c r="K620" s="936"/>
      <c r="L620" s="936"/>
      <c r="M620" s="1046" t="str">
        <f>IF(C620=0,"",IF($P$518&gt;0,"Converted",""))</f>
        <v/>
      </c>
      <c r="N620" s="1046"/>
      <c r="O620" s="1046"/>
      <c r="P620" s="1046"/>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8" customHeight="1" x14ac:dyDescent="0.3">
      <c r="B621" s="146" t="s">
        <v>615</v>
      </c>
      <c r="C621" s="770">
        <f>P527</f>
        <v>0</v>
      </c>
      <c r="D621" s="746"/>
      <c r="E621" s="18" t="s">
        <v>1790</v>
      </c>
      <c r="F621" s="1027">
        <v>0.47</v>
      </c>
      <c r="G621" s="1027"/>
      <c r="H621" s="18" t="s">
        <v>1792</v>
      </c>
      <c r="I621" s="936">
        <f>IF(C626&lt;R1,"DOI&lt;2005",IF(AND(C621&gt;0,C622&gt;0),0,T621))</f>
        <v>0</v>
      </c>
      <c r="J621" s="936"/>
      <c r="K621" s="936"/>
      <c r="L621" s="936"/>
      <c r="M621" s="1046" t="str">
        <f>IF(C621=0,"",IF(U618=1,"Converted",""))</f>
        <v/>
      </c>
      <c r="N621" s="1046"/>
      <c r="O621" s="1046"/>
      <c r="P621" s="1046"/>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18" customHeight="1" x14ac:dyDescent="0.3">
      <c r="B622" s="146" t="s">
        <v>889</v>
      </c>
      <c r="C622" s="770">
        <f>P594</f>
        <v>0</v>
      </c>
      <c r="D622" s="746"/>
      <c r="E622" s="18" t="s">
        <v>1790</v>
      </c>
      <c r="F622" s="1027">
        <v>0.6</v>
      </c>
      <c r="G622" s="1027"/>
      <c r="H622" s="18" t="s">
        <v>1792</v>
      </c>
      <c r="I622" s="936">
        <f>IF(C626&lt;R1,"DOI&lt;2005",T622)</f>
        <v>0</v>
      </c>
      <c r="J622" s="936"/>
      <c r="K622" s="936"/>
      <c r="L622" s="936"/>
      <c r="M622" s="1046"/>
      <c r="N622" s="1046"/>
      <c r="O622" s="1046"/>
      <c r="P622" s="1046"/>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4" spans="2:109" ht="36" customHeight="1" x14ac:dyDescent="0.3">
      <c r="B624" s="922" t="s">
        <v>1372</v>
      </c>
      <c r="C624" s="941"/>
      <c r="D624" s="941"/>
      <c r="E624" s="941"/>
      <c r="F624" s="941"/>
      <c r="G624" s="941"/>
      <c r="H624" s="941"/>
      <c r="I624" s="941"/>
      <c r="J624" s="941"/>
      <c r="K624" s="941"/>
      <c r="L624" s="941"/>
      <c r="M624" s="941"/>
      <c r="N624" s="941"/>
      <c r="O624" s="941"/>
      <c r="P624" s="942"/>
    </row>
    <row r="625" spans="2:109" ht="12" customHeight="1" x14ac:dyDescent="0.3">
      <c r="B625" s="712"/>
      <c r="C625" s="712"/>
      <c r="D625" s="712"/>
      <c r="E625" s="712"/>
      <c r="F625" s="712"/>
      <c r="G625" s="712"/>
      <c r="H625" s="712"/>
      <c r="I625" s="712"/>
      <c r="J625" s="712"/>
      <c r="K625" s="712"/>
      <c r="L625" s="712"/>
      <c r="M625" s="712"/>
      <c r="N625" s="712"/>
      <c r="O625" s="712"/>
      <c r="P625" s="712"/>
    </row>
    <row r="626" spans="2:109" ht="19.5" customHeight="1" x14ac:dyDescent="0.3">
      <c r="B626" s="39" t="s">
        <v>1188</v>
      </c>
      <c r="C626" s="775" t="str">
        <f>IF('Start here'!A8="","",'Start here'!A8)</f>
        <v/>
      </c>
      <c r="D626" s="1050"/>
      <c r="E626" s="1051"/>
      <c r="F626" s="1052" t="str">
        <f>IF(C626="","Enter date of injury on worksheet named: Start here.","")</f>
        <v>Enter date of injury on worksheet named: Start here.</v>
      </c>
      <c r="G626" s="1053"/>
      <c r="H626" s="1053"/>
      <c r="I626" s="1053"/>
      <c r="J626" s="1053"/>
      <c r="K626" s="1053"/>
      <c r="L626" s="1053"/>
      <c r="M626" s="1053"/>
      <c r="N626" s="1053"/>
      <c r="O626" s="1053"/>
      <c r="P626" s="1053"/>
    </row>
    <row r="627" spans="2:109" ht="12" customHeight="1" x14ac:dyDescent="0.3">
      <c r="B627" s="712"/>
      <c r="C627" s="712"/>
      <c r="D627" s="712"/>
      <c r="E627" s="712"/>
      <c r="F627" s="712"/>
      <c r="G627" s="712"/>
      <c r="H627" s="712"/>
      <c r="I627" s="712"/>
      <c r="J627" s="712"/>
      <c r="K627" s="712"/>
      <c r="L627" s="712"/>
      <c r="M627" s="712"/>
      <c r="N627" s="712"/>
      <c r="O627" s="712"/>
      <c r="P627" s="712"/>
    </row>
    <row r="628" spans="2:109" ht="30.75" customHeight="1" x14ac:dyDescent="0.3">
      <c r="B628" s="776" t="s">
        <v>409</v>
      </c>
      <c r="C628" s="776"/>
      <c r="D628" s="776"/>
      <c r="E628" s="776"/>
      <c r="F628" s="776"/>
      <c r="G628" s="776"/>
      <c r="H628" s="776"/>
      <c r="I628" s="776"/>
      <c r="J628" s="776"/>
      <c r="K628" s="776"/>
      <c r="L628" s="776"/>
      <c r="M628" s="776"/>
      <c r="N628" s="776"/>
      <c r="O628" s="776"/>
      <c r="P628" s="776"/>
      <c r="R628" s="947" t="s">
        <v>2196</v>
      </c>
    </row>
    <row r="629" spans="2:109" ht="33.75" customHeight="1" x14ac:dyDescent="0.3">
      <c r="B629" s="146"/>
      <c r="C629" s="927" t="s">
        <v>1795</v>
      </c>
      <c r="D629" s="925"/>
      <c r="E629" s="146"/>
      <c r="F629" s="927" t="s">
        <v>1189</v>
      </c>
      <c r="G629" s="927"/>
      <c r="H629" s="925" t="s">
        <v>365</v>
      </c>
      <c r="I629" s="925"/>
      <c r="J629" s="925"/>
      <c r="K629" s="18"/>
      <c r="L629" s="927" t="s">
        <v>1190</v>
      </c>
      <c r="M629" s="927"/>
      <c r="N629" s="18"/>
      <c r="O629" s="940" t="s">
        <v>1191</v>
      </c>
      <c r="P629" s="942"/>
      <c r="R629" s="947"/>
    </row>
    <row r="630" spans="2:109" ht="18" customHeight="1" x14ac:dyDescent="0.3">
      <c r="B630" s="146" t="s">
        <v>1936</v>
      </c>
      <c r="C630" s="770">
        <f>P60</f>
        <v>0</v>
      </c>
      <c r="D630" s="746"/>
      <c r="E630" s="18" t="s">
        <v>1790</v>
      </c>
      <c r="F630" s="18">
        <v>48</v>
      </c>
      <c r="G630" s="18" t="s">
        <v>1792</v>
      </c>
      <c r="H630" s="1047">
        <f t="shared" ref="H630:H636" si="98">C630*F630</f>
        <v>0</v>
      </c>
      <c r="I630" s="1047"/>
      <c r="J630" s="1047"/>
      <c r="K630" s="18" t="s">
        <v>1790</v>
      </c>
      <c r="L630" s="1045">
        <f>IF($C$626="",0,'Dol Per Deg'!$H$11)</f>
        <v>0</v>
      </c>
      <c r="M630" s="1045"/>
      <c r="N630" s="18" t="s">
        <v>1792</v>
      </c>
      <c r="O630" s="1045" t="str">
        <f>IF(C626&gt;=R1,"DOI&gt;2004",IF($P$518&gt;0,"Converted",H630*L630))</f>
        <v>DOI&gt;2004</v>
      </c>
      <c r="P630" s="1045"/>
      <c r="R630" s="370">
        <f>IF(O630="Converted",0,C630)</f>
        <v>0</v>
      </c>
    </row>
    <row r="631" spans="2:109" ht="18" customHeight="1" x14ac:dyDescent="0.3">
      <c r="B631" s="146" t="s">
        <v>115</v>
      </c>
      <c r="C631" s="770">
        <f>P137</f>
        <v>0</v>
      </c>
      <c r="D631" s="746"/>
      <c r="E631" s="18" t="s">
        <v>1790</v>
      </c>
      <c r="F631" s="18">
        <v>24</v>
      </c>
      <c r="G631" s="18" t="s">
        <v>1792</v>
      </c>
      <c r="H631" s="1047">
        <f t="shared" si="98"/>
        <v>0</v>
      </c>
      <c r="I631" s="1047"/>
      <c r="J631" s="1047"/>
      <c r="K631" s="18" t="s">
        <v>1790</v>
      </c>
      <c r="L631" s="1045">
        <f>IF($C$626="",0,'Dol Per Deg'!$H$11)</f>
        <v>0</v>
      </c>
      <c r="M631" s="1045"/>
      <c r="N631" s="18" t="s">
        <v>1792</v>
      </c>
      <c r="O631" s="1045" t="str">
        <f>IF(C626&gt;=R1,"DOI&gt;2004",IF($P$518&gt;0,"Converted",H631*L631))</f>
        <v>DOI&gt;2004</v>
      </c>
      <c r="P631" s="1045"/>
      <c r="R631" s="370">
        <f t="shared" ref="R631:R636" si="99">IF(O631="Converted",0,C631)</f>
        <v>0</v>
      </c>
    </row>
    <row r="632" spans="2:109" ht="18" customHeight="1" x14ac:dyDescent="0.3">
      <c r="B632" s="146" t="s">
        <v>117</v>
      </c>
      <c r="C632" s="770">
        <f>P214</f>
        <v>0</v>
      </c>
      <c r="D632" s="746"/>
      <c r="E632" s="18" t="s">
        <v>1790</v>
      </c>
      <c r="F632" s="18">
        <v>22</v>
      </c>
      <c r="G632" s="18" t="s">
        <v>1792</v>
      </c>
      <c r="H632" s="1047">
        <f t="shared" si="98"/>
        <v>0</v>
      </c>
      <c r="I632" s="1047"/>
      <c r="J632" s="1047"/>
      <c r="K632" s="18" t="s">
        <v>1790</v>
      </c>
      <c r="L632" s="1045">
        <f>IF($C$626="",0,'Dol Per Deg'!$H$11)</f>
        <v>0</v>
      </c>
      <c r="M632" s="1045"/>
      <c r="N632" s="18" t="s">
        <v>1792</v>
      </c>
      <c r="O632" s="1045" t="str">
        <f>IF(C626&gt;=R1,"DOI&gt;2004",IF($P$518&gt;0,"Converted",H632*L632))</f>
        <v>DOI&gt;2004</v>
      </c>
      <c r="P632" s="1045"/>
      <c r="R632" s="370">
        <f t="shared" si="99"/>
        <v>0</v>
      </c>
    </row>
    <row r="633" spans="2:109" ht="18" customHeight="1" x14ac:dyDescent="0.3">
      <c r="B633" s="146" t="s">
        <v>119</v>
      </c>
      <c r="C633" s="770">
        <f>P289</f>
        <v>0</v>
      </c>
      <c r="D633" s="746"/>
      <c r="E633" s="18" t="s">
        <v>1790</v>
      </c>
      <c r="F633" s="18">
        <v>10</v>
      </c>
      <c r="G633" s="18" t="s">
        <v>1792</v>
      </c>
      <c r="H633" s="1047">
        <f t="shared" si="98"/>
        <v>0</v>
      </c>
      <c r="I633" s="1047"/>
      <c r="J633" s="1047"/>
      <c r="K633" s="18" t="s">
        <v>1790</v>
      </c>
      <c r="L633" s="1045">
        <f>IF($C$626="",0,'Dol Per Deg'!$H$11)</f>
        <v>0</v>
      </c>
      <c r="M633" s="1045"/>
      <c r="N633" s="18" t="s">
        <v>1792</v>
      </c>
      <c r="O633" s="1045" t="str">
        <f>IF(C626&gt;=R1,"DOI&gt;2004",IF($P$518&gt;0,"Converted",H633*L633))</f>
        <v>DOI&gt;2004</v>
      </c>
      <c r="P633" s="1045"/>
      <c r="R633" s="370">
        <f t="shared" si="99"/>
        <v>0</v>
      </c>
    </row>
    <row r="634" spans="2:109" ht="18" customHeight="1" x14ac:dyDescent="0.3">
      <c r="B634" s="146" t="s">
        <v>1389</v>
      </c>
      <c r="C634" s="770">
        <f>P364</f>
        <v>0</v>
      </c>
      <c r="D634" s="746"/>
      <c r="E634" s="18" t="s">
        <v>1790</v>
      </c>
      <c r="F634" s="18">
        <v>6</v>
      </c>
      <c r="G634" s="18" t="s">
        <v>1792</v>
      </c>
      <c r="H634" s="860">
        <f t="shared" si="98"/>
        <v>0</v>
      </c>
      <c r="I634" s="860"/>
      <c r="J634" s="860"/>
      <c r="K634" s="18" t="s">
        <v>1790</v>
      </c>
      <c r="L634" s="1045">
        <f>IF($C$626="",0,'Dol Per Deg'!$H$11)</f>
        <v>0</v>
      </c>
      <c r="M634" s="1045"/>
      <c r="N634" s="18" t="s">
        <v>1792</v>
      </c>
      <c r="O634" s="1045" t="str">
        <f>IF(C626&gt;=R1,"DOI&gt;2004",IF($P$518&gt;0,"Converted",H634*L634))</f>
        <v>DOI&gt;2004</v>
      </c>
      <c r="P634" s="1045"/>
      <c r="R634" s="370">
        <f t="shared" si="99"/>
        <v>0</v>
      </c>
    </row>
    <row r="635" spans="2:109" ht="18" customHeight="1" x14ac:dyDescent="0.3">
      <c r="B635" s="146" t="s">
        <v>615</v>
      </c>
      <c r="C635" s="770">
        <f>P527</f>
        <v>0</v>
      </c>
      <c r="D635" s="746"/>
      <c r="E635" s="18" t="s">
        <v>1790</v>
      </c>
      <c r="F635" s="18">
        <v>150</v>
      </c>
      <c r="G635" s="18" t="s">
        <v>1792</v>
      </c>
      <c r="H635" s="860">
        <f t="shared" si="98"/>
        <v>0</v>
      </c>
      <c r="I635" s="860"/>
      <c r="J635" s="860"/>
      <c r="K635" s="18" t="s">
        <v>1790</v>
      </c>
      <c r="L635" s="1045">
        <f>IF($C$626="",0,'Dol Per Deg'!$H$11)</f>
        <v>0</v>
      </c>
      <c r="M635" s="1045"/>
      <c r="N635" s="18" t="s">
        <v>1792</v>
      </c>
      <c r="O635" s="1045" t="str">
        <f>IF(C626&gt;=R1,"DOI&gt;2004",IF(AND(C635&gt;0,C636&gt;0),"Converted",H635*L635))</f>
        <v>DOI&gt;2004</v>
      </c>
      <c r="P635" s="1045"/>
      <c r="R635" s="370">
        <f t="shared" si="99"/>
        <v>0</v>
      </c>
    </row>
    <row r="636" spans="2:109" ht="18" customHeight="1" x14ac:dyDescent="0.3">
      <c r="B636" s="146" t="s">
        <v>889</v>
      </c>
      <c r="C636" s="936">
        <f>P594</f>
        <v>0</v>
      </c>
      <c r="D636" s="936"/>
      <c r="E636" s="18" t="s">
        <v>1790</v>
      </c>
      <c r="F636" s="18">
        <v>192</v>
      </c>
      <c r="G636" s="18" t="s">
        <v>1792</v>
      </c>
      <c r="H636" s="860">
        <f t="shared" si="98"/>
        <v>0</v>
      </c>
      <c r="I636" s="860"/>
      <c r="J636" s="860"/>
      <c r="K636" s="18" t="s">
        <v>1790</v>
      </c>
      <c r="L636" s="1045">
        <f>IF($C$626="",0,'Dol Per Deg'!$H$11)</f>
        <v>0</v>
      </c>
      <c r="M636" s="1045"/>
      <c r="N636" s="18" t="s">
        <v>1792</v>
      </c>
      <c r="O636" s="1045" t="str">
        <f>IF(C626&gt;=R1,"DOI&gt;2004",H636*L636)</f>
        <v>DOI&gt;2004</v>
      </c>
      <c r="P636" s="1045"/>
      <c r="R636" s="370">
        <f t="shared" si="99"/>
        <v>0</v>
      </c>
    </row>
    <row r="637" spans="2:109" ht="36.75" customHeight="1" x14ac:dyDescent="0.35">
      <c r="B637" s="1049" t="s">
        <v>947</v>
      </c>
      <c r="C637" s="1049"/>
      <c r="D637" s="1049"/>
      <c r="E637" s="1049"/>
      <c r="F637" s="1049"/>
      <c r="G637" s="1049"/>
      <c r="H637" s="1049"/>
      <c r="I637" s="1049"/>
      <c r="J637" s="1049"/>
      <c r="K637" s="1049"/>
      <c r="L637" s="1049"/>
      <c r="M637" s="1049"/>
      <c r="N637" s="1049"/>
      <c r="O637" s="1049"/>
      <c r="P637" s="1049"/>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3">
      <c r="B638" s="246" t="s">
        <v>790</v>
      </c>
      <c r="C638" s="1125" t="str">
        <f>IF(S1&lt;&gt;"",S1,"")</f>
        <v>Go to PPD Worksheet</v>
      </c>
      <c r="D638" s="1125"/>
      <c r="E638" s="1125"/>
      <c r="F638" s="1125"/>
      <c r="G638" s="1125"/>
      <c r="H638" s="1125"/>
      <c r="I638" s="1125"/>
      <c r="J638" s="1126" t="str">
        <f>IF(S2&lt;&gt;"",S2,"")</f>
        <v/>
      </c>
      <c r="K638" s="1126"/>
      <c r="L638" s="1126"/>
      <c r="M638" s="1126"/>
      <c r="N638" s="1126"/>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3">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row>
    <row r="640" spans="2:109" x14ac:dyDescent="0.3">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row>
    <row r="641" spans="2:241" hidden="1" x14ac:dyDescent="0.3">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row>
    <row r="642" spans="2:241" s="171" customFormat="1" hidden="1" x14ac:dyDescent="0.3">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hidden="1" x14ac:dyDescent="0.3">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row>
    <row r="644" spans="2:241" ht="12" hidden="1" customHeight="1" x14ac:dyDescent="0.3">
      <c r="B644" s="370">
        <v>0.01</v>
      </c>
      <c r="C644" s="806" t="s">
        <v>2219</v>
      </c>
      <c r="D644" s="806"/>
      <c r="E644" s="806"/>
      <c r="F644" s="806"/>
      <c r="G644" s="806"/>
      <c r="H644" s="806"/>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row>
    <row r="645" spans="2:241" hidden="1" x14ac:dyDescent="0.3">
      <c r="B645" s="370">
        <v>0.99</v>
      </c>
      <c r="C645" s="806" t="s">
        <v>2219</v>
      </c>
      <c r="D645" s="806"/>
      <c r="E645" s="806"/>
      <c r="F645" s="806"/>
      <c r="G645" s="806"/>
      <c r="H645" s="806"/>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hidden="1" x14ac:dyDescent="0.3">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hidden="1" x14ac:dyDescent="0.3">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hidden="1" x14ac:dyDescent="0.3">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3">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hidden="1" x14ac:dyDescent="0.3">
      <c r="B650" s="776" t="s">
        <v>2220</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row>
    <row r="651" spans="2:241" hidden="1" x14ac:dyDescent="0.3">
      <c r="B651" s="776"/>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idden="1" x14ac:dyDescent="0.3">
      <c r="B652" s="77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3">
      <c r="B653" s="77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3">
      <c r="B654" s="13"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3">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3">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3">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3">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3">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3">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3">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3">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3">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3">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3">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3">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3">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3">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3">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3">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3">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3">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3">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3">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3">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3">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3">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3">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3">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3">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3">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3">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3">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3">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3">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3">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3">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3">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3">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3">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3">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3">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3">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3">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3">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3">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3">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3">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3">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3">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3">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3">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3">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3">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3">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3">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3">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3">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3">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3">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3">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3">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3">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3">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3">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3">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3">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3">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3">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3">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3">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3">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3">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3">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3">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3">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3">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3">
      <c r="B728" s="146">
        <v>73</v>
      </c>
    </row>
    <row r="729" spans="2:109" hidden="1" x14ac:dyDescent="0.3">
      <c r="B729" s="146">
        <v>74</v>
      </c>
    </row>
    <row r="730" spans="2:109" hidden="1" x14ac:dyDescent="0.3">
      <c r="B730" s="146">
        <v>75</v>
      </c>
    </row>
    <row r="731" spans="2:109" hidden="1" x14ac:dyDescent="0.3">
      <c r="B731" s="146">
        <v>76</v>
      </c>
    </row>
    <row r="732" spans="2:109" hidden="1" x14ac:dyDescent="0.3">
      <c r="B732" s="146">
        <v>77</v>
      </c>
    </row>
    <row r="733" spans="2:109" hidden="1" x14ac:dyDescent="0.3">
      <c r="B733" s="146">
        <v>78</v>
      </c>
    </row>
    <row r="734" spans="2:109" hidden="1" x14ac:dyDescent="0.3">
      <c r="B734" s="146">
        <v>79</v>
      </c>
    </row>
    <row r="735" spans="2:109" hidden="1" x14ac:dyDescent="0.3">
      <c r="B735" s="146">
        <v>80</v>
      </c>
    </row>
    <row r="736" spans="2:109" hidden="1" x14ac:dyDescent="0.3">
      <c r="B736" s="146">
        <v>81</v>
      </c>
    </row>
    <row r="737" spans="2:2" hidden="1" x14ac:dyDescent="0.3">
      <c r="B737" s="146">
        <v>82</v>
      </c>
    </row>
    <row r="738" spans="2:2" hidden="1" x14ac:dyDescent="0.3">
      <c r="B738" s="146">
        <v>83</v>
      </c>
    </row>
    <row r="739" spans="2:2" hidden="1" x14ac:dyDescent="0.3">
      <c r="B739" s="146">
        <v>84</v>
      </c>
    </row>
    <row r="740" spans="2:2" hidden="1" x14ac:dyDescent="0.3">
      <c r="B740" s="146">
        <v>85</v>
      </c>
    </row>
    <row r="741" spans="2:2" hidden="1" x14ac:dyDescent="0.3">
      <c r="B741" s="146">
        <v>86</v>
      </c>
    </row>
    <row r="742" spans="2:2" hidden="1" x14ac:dyDescent="0.3">
      <c r="B742" s="146">
        <v>87</v>
      </c>
    </row>
    <row r="743" spans="2:2" hidden="1" x14ac:dyDescent="0.3">
      <c r="B743" s="146">
        <v>88</v>
      </c>
    </row>
    <row r="744" spans="2:2" hidden="1" x14ac:dyDescent="0.3">
      <c r="B744" s="146">
        <v>89</v>
      </c>
    </row>
    <row r="745" spans="2:2" hidden="1" x14ac:dyDescent="0.3">
      <c r="B745" s="146">
        <v>90</v>
      </c>
    </row>
    <row r="746" spans="2:2" hidden="1" x14ac:dyDescent="0.3">
      <c r="B746" s="146">
        <v>91</v>
      </c>
    </row>
    <row r="747" spans="2:2" hidden="1" x14ac:dyDescent="0.3">
      <c r="B747" s="146">
        <v>92</v>
      </c>
    </row>
    <row r="748" spans="2:2" hidden="1" x14ac:dyDescent="0.3">
      <c r="B748" s="146">
        <v>93</v>
      </c>
    </row>
    <row r="749" spans="2:2" hidden="1" x14ac:dyDescent="0.3">
      <c r="B749" s="146">
        <v>94</v>
      </c>
    </row>
    <row r="750" spans="2:2" hidden="1" x14ac:dyDescent="0.3">
      <c r="B750" s="146">
        <v>95</v>
      </c>
    </row>
    <row r="751" spans="2:2" hidden="1" x14ac:dyDescent="0.3">
      <c r="B751" s="146">
        <v>96</v>
      </c>
    </row>
    <row r="752" spans="2:2" hidden="1" x14ac:dyDescent="0.3">
      <c r="B752" s="146">
        <v>97</v>
      </c>
    </row>
    <row r="753" spans="2:2" hidden="1" x14ac:dyDescent="0.3">
      <c r="B753" s="146">
        <v>98</v>
      </c>
    </row>
    <row r="754" spans="2:2" hidden="1" x14ac:dyDescent="0.3">
      <c r="B754" s="146">
        <v>99</v>
      </c>
    </row>
    <row r="755" spans="2:2" hidden="1" x14ac:dyDescent="0.3">
      <c r="B755" s="146">
        <v>100</v>
      </c>
    </row>
    <row r="756" spans="2:2" hidden="1" x14ac:dyDescent="0.3">
      <c r="B756" s="146">
        <v>101</v>
      </c>
    </row>
    <row r="757" spans="2:2" hidden="1" x14ac:dyDescent="0.3">
      <c r="B757" s="146">
        <v>102</v>
      </c>
    </row>
    <row r="758" spans="2:2" hidden="1" x14ac:dyDescent="0.3">
      <c r="B758" s="146">
        <v>103</v>
      </c>
    </row>
    <row r="759" spans="2:2" hidden="1" x14ac:dyDescent="0.3">
      <c r="B759" s="146">
        <v>104</v>
      </c>
    </row>
    <row r="760" spans="2:2" hidden="1" x14ac:dyDescent="0.3">
      <c r="B760" s="146">
        <v>105</v>
      </c>
    </row>
    <row r="761" spans="2:2" hidden="1" x14ac:dyDescent="0.3">
      <c r="B761" s="146">
        <v>106</v>
      </c>
    </row>
    <row r="762" spans="2:2" hidden="1" x14ac:dyDescent="0.3">
      <c r="B762" s="146">
        <v>107</v>
      </c>
    </row>
    <row r="763" spans="2:2" hidden="1" x14ac:dyDescent="0.3">
      <c r="B763" s="146">
        <v>108</v>
      </c>
    </row>
    <row r="764" spans="2:2" hidden="1" x14ac:dyDescent="0.3">
      <c r="B764" s="146">
        <v>109</v>
      </c>
    </row>
    <row r="765" spans="2:2" hidden="1" x14ac:dyDescent="0.3">
      <c r="B765" s="146">
        <v>110</v>
      </c>
    </row>
    <row r="766" spans="2:2" hidden="1" x14ac:dyDescent="0.3">
      <c r="B766" s="146">
        <v>111</v>
      </c>
    </row>
    <row r="767" spans="2:2" hidden="1" x14ac:dyDescent="0.3">
      <c r="B767" s="146">
        <v>112</v>
      </c>
    </row>
    <row r="768" spans="2:2" hidden="1" x14ac:dyDescent="0.3">
      <c r="B768" s="146">
        <v>113</v>
      </c>
    </row>
    <row r="769" spans="2:2" hidden="1" x14ac:dyDescent="0.3">
      <c r="B769" s="146">
        <v>114</v>
      </c>
    </row>
    <row r="770" spans="2:2" hidden="1" x14ac:dyDescent="0.3">
      <c r="B770" s="146">
        <v>115</v>
      </c>
    </row>
    <row r="771" spans="2:2" hidden="1" x14ac:dyDescent="0.3">
      <c r="B771" s="146">
        <v>116</v>
      </c>
    </row>
    <row r="772" spans="2:2" hidden="1" x14ac:dyDescent="0.3">
      <c r="B772" s="146">
        <v>117</v>
      </c>
    </row>
    <row r="773" spans="2:2" hidden="1" x14ac:dyDescent="0.3">
      <c r="B773" s="146">
        <v>118</v>
      </c>
    </row>
    <row r="774" spans="2:2" hidden="1" x14ac:dyDescent="0.3">
      <c r="B774" s="146">
        <v>119</v>
      </c>
    </row>
    <row r="775" spans="2:2" hidden="1" x14ac:dyDescent="0.3">
      <c r="B775" s="146">
        <v>120</v>
      </c>
    </row>
    <row r="776" spans="2:2" hidden="1" x14ac:dyDescent="0.3">
      <c r="B776" s="146">
        <v>121</v>
      </c>
    </row>
    <row r="777" spans="2:2" hidden="1" x14ac:dyDescent="0.3">
      <c r="B777" s="146">
        <v>122</v>
      </c>
    </row>
    <row r="778" spans="2:2" hidden="1" x14ac:dyDescent="0.3">
      <c r="B778" s="146">
        <v>123</v>
      </c>
    </row>
    <row r="779" spans="2:2" hidden="1" x14ac:dyDescent="0.3">
      <c r="B779" s="146">
        <v>124</v>
      </c>
    </row>
    <row r="780" spans="2:2" hidden="1" x14ac:dyDescent="0.3">
      <c r="B780" s="146">
        <v>125</v>
      </c>
    </row>
    <row r="781" spans="2:2" hidden="1" x14ac:dyDescent="0.3">
      <c r="B781" s="146">
        <v>126</v>
      </c>
    </row>
    <row r="782" spans="2:2" hidden="1" x14ac:dyDescent="0.3">
      <c r="B782" s="146">
        <v>127</v>
      </c>
    </row>
    <row r="783" spans="2:2" hidden="1" x14ac:dyDescent="0.3">
      <c r="B783" s="146">
        <v>128</v>
      </c>
    </row>
    <row r="784" spans="2:2" hidden="1" x14ac:dyDescent="0.3">
      <c r="B784" s="146">
        <v>129</v>
      </c>
    </row>
    <row r="785" spans="2:2" hidden="1" x14ac:dyDescent="0.3">
      <c r="B785" s="146">
        <v>130</v>
      </c>
    </row>
    <row r="786" spans="2:2" hidden="1" x14ac:dyDescent="0.3">
      <c r="B786" s="146">
        <v>131</v>
      </c>
    </row>
    <row r="787" spans="2:2" hidden="1" x14ac:dyDescent="0.3">
      <c r="B787" s="146">
        <v>132</v>
      </c>
    </row>
    <row r="788" spans="2:2" hidden="1" x14ac:dyDescent="0.3">
      <c r="B788" s="146">
        <v>133</v>
      </c>
    </row>
    <row r="789" spans="2:2" hidden="1" x14ac:dyDescent="0.3">
      <c r="B789" s="146">
        <v>134</v>
      </c>
    </row>
    <row r="790" spans="2:2" hidden="1" x14ac:dyDescent="0.3">
      <c r="B790" s="146">
        <v>135</v>
      </c>
    </row>
    <row r="791" spans="2:2" hidden="1" x14ac:dyDescent="0.3">
      <c r="B791" s="146">
        <v>136</v>
      </c>
    </row>
    <row r="792" spans="2:2" hidden="1" x14ac:dyDescent="0.3">
      <c r="B792" s="146">
        <v>137</v>
      </c>
    </row>
    <row r="793" spans="2:2" hidden="1" x14ac:dyDescent="0.3">
      <c r="B793" s="146">
        <v>138</v>
      </c>
    </row>
    <row r="794" spans="2:2" hidden="1" x14ac:dyDescent="0.3">
      <c r="B794" s="146">
        <v>139</v>
      </c>
    </row>
    <row r="795" spans="2:2" hidden="1" x14ac:dyDescent="0.3">
      <c r="B795" s="146">
        <v>140</v>
      </c>
    </row>
    <row r="796" spans="2:2" hidden="1" x14ac:dyDescent="0.3">
      <c r="B796" s="146">
        <v>141</v>
      </c>
    </row>
    <row r="797" spans="2:2" hidden="1" x14ac:dyDescent="0.3">
      <c r="B797" s="146">
        <v>142</v>
      </c>
    </row>
    <row r="798" spans="2:2" hidden="1" x14ac:dyDescent="0.3">
      <c r="B798" s="146">
        <v>143</v>
      </c>
    </row>
    <row r="799" spans="2:2" hidden="1" x14ac:dyDescent="0.3">
      <c r="B799" s="146">
        <v>144</v>
      </c>
    </row>
    <row r="800" spans="2:2" hidden="1" x14ac:dyDescent="0.3">
      <c r="B800" s="146">
        <v>145</v>
      </c>
    </row>
    <row r="801" spans="2:2" hidden="1" x14ac:dyDescent="0.3">
      <c r="B801" s="146">
        <v>146</v>
      </c>
    </row>
    <row r="802" spans="2:2" hidden="1" x14ac:dyDescent="0.3">
      <c r="B802" s="146">
        <v>147</v>
      </c>
    </row>
    <row r="803" spans="2:2" hidden="1" x14ac:dyDescent="0.3">
      <c r="B803" s="146">
        <v>148</v>
      </c>
    </row>
    <row r="804" spans="2:2" hidden="1" x14ac:dyDescent="0.3">
      <c r="B804" s="146">
        <v>149</v>
      </c>
    </row>
    <row r="805" spans="2:2" hidden="1" x14ac:dyDescent="0.3">
      <c r="B805" s="146">
        <v>150</v>
      </c>
    </row>
    <row r="806" spans="2:2" hidden="1" x14ac:dyDescent="0.3"/>
    <row r="807" spans="2:2" hidden="1" x14ac:dyDescent="0.3"/>
    <row r="808" spans="2:2" hidden="1" x14ac:dyDescent="0.3"/>
    <row r="809" spans="2:2" hidden="1" x14ac:dyDescent="0.3"/>
  </sheetData>
  <sheetProtection sheet="1" objects="1" scenarios="1"/>
  <mergeCells count="1950">
    <mergeCell ref="AB598:AC598"/>
    <mergeCell ref="AD404:AG404"/>
    <mergeCell ref="T392:U392"/>
    <mergeCell ref="V393:Y393"/>
    <mergeCell ref="V396:Y396"/>
    <mergeCell ref="Z434:AB434"/>
    <mergeCell ref="W400:X400"/>
    <mergeCell ref="AD395:AG395"/>
    <mergeCell ref="W394:X394"/>
    <mergeCell ref="AD403:AG403"/>
    <mergeCell ref="AC316:AD316"/>
    <mergeCell ref="AB534:AD534"/>
    <mergeCell ref="AB535:AD535"/>
    <mergeCell ref="V561:Y561"/>
    <mergeCell ref="AA460:AC460"/>
    <mergeCell ref="R445:S445"/>
    <mergeCell ref="S105:T105"/>
    <mergeCell ref="S181:T181"/>
    <mergeCell ref="Z438:AB438"/>
    <mergeCell ref="V407:AC407"/>
    <mergeCell ref="S411:T411"/>
    <mergeCell ref="X583:Y584"/>
    <mergeCell ref="AB597:AC597"/>
    <mergeCell ref="Z435:AB435"/>
    <mergeCell ref="S414:T414"/>
    <mergeCell ref="U418:X418"/>
    <mergeCell ref="S418:T418"/>
    <mergeCell ref="R422:R423"/>
    <mergeCell ref="AA366:AC369"/>
    <mergeCell ref="AA595:AC596"/>
    <mergeCell ref="W323:X323"/>
    <mergeCell ref="W327:X327"/>
    <mergeCell ref="B590:O590"/>
    <mergeCell ref="B588:K588"/>
    <mergeCell ref="C580:O580"/>
    <mergeCell ref="B587:O587"/>
    <mergeCell ref="B589:O589"/>
    <mergeCell ref="L354:N354"/>
    <mergeCell ref="I266:J266"/>
    <mergeCell ref="E394:F394"/>
    <mergeCell ref="K394:O394"/>
    <mergeCell ref="G372:H372"/>
    <mergeCell ref="E373:F373"/>
    <mergeCell ref="B374:D374"/>
    <mergeCell ref="I373:J373"/>
    <mergeCell ref="W125:Z125"/>
    <mergeCell ref="E179:I180"/>
    <mergeCell ref="C180:D180"/>
    <mergeCell ref="E255:I256"/>
    <mergeCell ref="C256:D256"/>
    <mergeCell ref="E330:I331"/>
    <mergeCell ref="C331:D331"/>
    <mergeCell ref="Z386:AB386"/>
    <mergeCell ref="R583:R584"/>
    <mergeCell ref="K173:O173"/>
    <mergeCell ref="G150:H150"/>
    <mergeCell ref="F184:O184"/>
    <mergeCell ref="E188:F188"/>
    <mergeCell ref="G140:H140"/>
    <mergeCell ref="Z439:AB439"/>
    <mergeCell ref="W176:X176"/>
    <mergeCell ref="Z440:AB440"/>
    <mergeCell ref="Z436:AB436"/>
    <mergeCell ref="AA317:AD319"/>
    <mergeCell ref="AD396:AG396"/>
    <mergeCell ref="C100:D100"/>
    <mergeCell ref="K98:N98"/>
    <mergeCell ref="G24:H24"/>
    <mergeCell ref="I23:J23"/>
    <mergeCell ref="K19:O19"/>
    <mergeCell ref="K27:O27"/>
    <mergeCell ref="G25:O25"/>
    <mergeCell ref="K30:L30"/>
    <mergeCell ref="W50:Z50"/>
    <mergeCell ref="W202:Z202"/>
    <mergeCell ref="S114:X114"/>
    <mergeCell ref="W248:X248"/>
    <mergeCell ref="W244:X244"/>
    <mergeCell ref="U241:U242"/>
    <mergeCell ref="R309:R310"/>
    <mergeCell ref="X32:AA32"/>
    <mergeCell ref="AA216:AC219"/>
    <mergeCell ref="AA291:AC294"/>
    <mergeCell ref="P157:P158"/>
    <mergeCell ref="I190:J190"/>
    <mergeCell ref="K31:L31"/>
    <mergeCell ref="S32:V32"/>
    <mergeCell ref="W168:X168"/>
    <mergeCell ref="M191:N191"/>
    <mergeCell ref="G191:H191"/>
    <mergeCell ref="E193:F193"/>
    <mergeCell ref="K190:L190"/>
    <mergeCell ref="P289:P305"/>
    <mergeCell ref="S257:T257"/>
    <mergeCell ref="S266:X266"/>
    <mergeCell ref="G222:H222"/>
    <mergeCell ref="D259:E259"/>
    <mergeCell ref="G138:H138"/>
    <mergeCell ref="AL32:AO32"/>
    <mergeCell ref="T16:U16"/>
    <mergeCell ref="W23:X23"/>
    <mergeCell ref="W18:X18"/>
    <mergeCell ref="V17:Y17"/>
    <mergeCell ref="AH32:AJ32"/>
    <mergeCell ref="AA17:AD19"/>
    <mergeCell ref="R81:R82"/>
    <mergeCell ref="R85:R86"/>
    <mergeCell ref="W99:X99"/>
    <mergeCell ref="B81:O81"/>
    <mergeCell ref="B74:D74"/>
    <mergeCell ref="I76:J76"/>
    <mergeCell ref="B85:O85"/>
    <mergeCell ref="G77:H77"/>
    <mergeCell ref="P88:P103"/>
    <mergeCell ref="AC32:AF32"/>
    <mergeCell ref="S43:T43"/>
    <mergeCell ref="AA166:AD168"/>
    <mergeCell ref="AA242:AD244"/>
    <mergeCell ref="E144:F144"/>
    <mergeCell ref="E150:F150"/>
    <mergeCell ref="G146:H146"/>
    <mergeCell ref="D185:E185"/>
    <mergeCell ref="G141:H141"/>
    <mergeCell ref="AA114:AF114"/>
    <mergeCell ref="I221:J221"/>
    <mergeCell ref="V243:Y243"/>
    <mergeCell ref="V318:Y318"/>
    <mergeCell ref="K177:O177"/>
    <mergeCell ref="R313:R314"/>
    <mergeCell ref="P316:P331"/>
    <mergeCell ref="K320:O320"/>
    <mergeCell ref="B161:O161"/>
    <mergeCell ref="C130:D130"/>
    <mergeCell ref="B142:D142"/>
    <mergeCell ref="M189:N189"/>
    <mergeCell ref="E121:F121"/>
    <mergeCell ref="E122:F122"/>
    <mergeCell ref="C248:D248"/>
    <mergeCell ref="G242:J242"/>
    <mergeCell ref="C283:D283"/>
    <mergeCell ref="C268:D268"/>
    <mergeCell ref="R282:R284"/>
    <mergeCell ref="S190:X190"/>
    <mergeCell ref="M190:N190"/>
    <mergeCell ref="E176:F176"/>
    <mergeCell ref="G176:H176"/>
    <mergeCell ref="I148:J148"/>
    <mergeCell ref="I173:J173"/>
    <mergeCell ref="L280:N280"/>
    <mergeCell ref="L203:N203"/>
    <mergeCell ref="E187:F187"/>
    <mergeCell ref="I273:J273"/>
    <mergeCell ref="G192:H192"/>
    <mergeCell ref="M192:N192"/>
    <mergeCell ref="B206:B208"/>
    <mergeCell ref="C267:D267"/>
    <mergeCell ref="K243:O243"/>
    <mergeCell ref="E268:F268"/>
    <mergeCell ref="G268:H268"/>
    <mergeCell ref="E252:F252"/>
    <mergeCell ref="E273:F273"/>
    <mergeCell ref="W95:X95"/>
    <mergeCell ref="T165:T166"/>
    <mergeCell ref="U165:U166"/>
    <mergeCell ref="V167:Y167"/>
    <mergeCell ref="U316:U317"/>
    <mergeCell ref="P312:P314"/>
    <mergeCell ref="P277:P280"/>
    <mergeCell ref="C274:D274"/>
    <mergeCell ref="I291:J291"/>
    <mergeCell ref="T316:T317"/>
    <mergeCell ref="E297:F297"/>
    <mergeCell ref="W278:Z278"/>
    <mergeCell ref="K289:O292"/>
    <mergeCell ref="B310:O310"/>
    <mergeCell ref="E290:F290"/>
    <mergeCell ref="B285:O285"/>
    <mergeCell ref="G289:J289"/>
    <mergeCell ref="G301:H301"/>
    <mergeCell ref="H277:J277"/>
    <mergeCell ref="C278:G278"/>
    <mergeCell ref="K269:L269"/>
    <mergeCell ref="AC241:AD241"/>
    <mergeCell ref="F182:O182"/>
    <mergeCell ref="C176:D176"/>
    <mergeCell ref="B181:O181"/>
    <mergeCell ref="K175:N175"/>
    <mergeCell ref="C126:G126"/>
    <mergeCell ref="L127:N127"/>
    <mergeCell ref="C128:G128"/>
    <mergeCell ref="L128:N128"/>
    <mergeCell ref="H128:J128"/>
    <mergeCell ref="C131:D131"/>
    <mergeCell ref="L126:N126"/>
    <mergeCell ref="B129:O129"/>
    <mergeCell ref="B182:C185"/>
    <mergeCell ref="L277:O277"/>
    <mergeCell ref="M272:N272"/>
    <mergeCell ref="R628:R629"/>
    <mergeCell ref="B585:O585"/>
    <mergeCell ref="B595:D595"/>
    <mergeCell ref="G595:H595"/>
    <mergeCell ref="G344:H344"/>
    <mergeCell ref="I371:J371"/>
    <mergeCell ref="B373:D373"/>
    <mergeCell ref="E371:F371"/>
    <mergeCell ref="E376:F376"/>
    <mergeCell ref="G367:H367"/>
    <mergeCell ref="I367:J367"/>
    <mergeCell ref="G368:H368"/>
    <mergeCell ref="G366:H366"/>
    <mergeCell ref="M342:N342"/>
    <mergeCell ref="I366:J366"/>
    <mergeCell ref="I368:J368"/>
    <mergeCell ref="I374:J374"/>
    <mergeCell ref="B385:O385"/>
    <mergeCell ref="F386:G386"/>
    <mergeCell ref="B391:O391"/>
    <mergeCell ref="G396:O396"/>
    <mergeCell ref="G397:O397"/>
    <mergeCell ref="G398:O398"/>
    <mergeCell ref="E396:F396"/>
    <mergeCell ref="E397:F397"/>
    <mergeCell ref="B381:P381"/>
    <mergeCell ref="G365:H365"/>
    <mergeCell ref="E375:F375"/>
    <mergeCell ref="K348:L348"/>
    <mergeCell ref="B368:D368"/>
    <mergeCell ref="W319:X319"/>
    <mergeCell ref="E328:F328"/>
    <mergeCell ref="E324:F324"/>
    <mergeCell ref="C323:D323"/>
    <mergeCell ref="E323:F323"/>
    <mergeCell ref="G323:H323"/>
    <mergeCell ref="S332:T332"/>
    <mergeCell ref="S341:X341"/>
    <mergeCell ref="I327:J327"/>
    <mergeCell ref="G325:O325"/>
    <mergeCell ref="F334:O334"/>
    <mergeCell ref="L352:O352"/>
    <mergeCell ref="G329:O329"/>
    <mergeCell ref="B333:C336"/>
    <mergeCell ref="P364:P380"/>
    <mergeCell ref="P392:P397"/>
    <mergeCell ref="M341:N341"/>
    <mergeCell ref="B326:J326"/>
    <mergeCell ref="E325:F325"/>
    <mergeCell ref="C321:D321"/>
    <mergeCell ref="C638:I638"/>
    <mergeCell ref="J638:N638"/>
    <mergeCell ref="B408:F408"/>
    <mergeCell ref="B582:O582"/>
    <mergeCell ref="L588:O588"/>
    <mergeCell ref="B547:D547"/>
    <mergeCell ref="B541:D541"/>
    <mergeCell ref="B543:B544"/>
    <mergeCell ref="F498:K498"/>
    <mergeCell ref="B598:D598"/>
    <mergeCell ref="E603:F603"/>
    <mergeCell ref="E598:F598"/>
    <mergeCell ref="C581:O581"/>
    <mergeCell ref="B601:D601"/>
    <mergeCell ref="F620:G620"/>
    <mergeCell ref="F617:G617"/>
    <mergeCell ref="G608:H608"/>
    <mergeCell ref="I605:J605"/>
    <mergeCell ref="B584:N584"/>
    <mergeCell ref="B604:D604"/>
    <mergeCell ref="G594:J594"/>
    <mergeCell ref="E601:F601"/>
    <mergeCell ref="I600:J600"/>
    <mergeCell ref="G600:H600"/>
    <mergeCell ref="K597:O601"/>
    <mergeCell ref="E600:F600"/>
    <mergeCell ref="B560:O560"/>
    <mergeCell ref="G369:H369"/>
    <mergeCell ref="K548:O553"/>
    <mergeCell ref="B600:D600"/>
    <mergeCell ref="G577:H577"/>
    <mergeCell ref="C445:K445"/>
    <mergeCell ref="B444:K444"/>
    <mergeCell ref="I141:J141"/>
    <mergeCell ref="G147:H147"/>
    <mergeCell ref="J255:N255"/>
    <mergeCell ref="I215:J215"/>
    <mergeCell ref="J256:O256"/>
    <mergeCell ref="K245:O245"/>
    <mergeCell ref="E220:F220"/>
    <mergeCell ref="E329:F329"/>
    <mergeCell ref="C318:D318"/>
    <mergeCell ref="B599:D599"/>
    <mergeCell ref="E599:F599"/>
    <mergeCell ref="G597:H597"/>
    <mergeCell ref="G144:H144"/>
    <mergeCell ref="B151:D151"/>
    <mergeCell ref="K375:O379"/>
    <mergeCell ref="F388:G388"/>
    <mergeCell ref="C394:D394"/>
    <mergeCell ref="G375:H375"/>
    <mergeCell ref="I394:J394"/>
    <mergeCell ref="G393:J393"/>
    <mergeCell ref="K393:O393"/>
    <mergeCell ref="G394:H394"/>
    <mergeCell ref="G296:H296"/>
    <mergeCell ref="B292:D292"/>
    <mergeCell ref="I292:J292"/>
    <mergeCell ref="I295:J295"/>
    <mergeCell ref="B303:D303"/>
    <mergeCell ref="E293:F293"/>
    <mergeCell ref="B372:D372"/>
    <mergeCell ref="D333:E333"/>
    <mergeCell ref="G342:H342"/>
    <mergeCell ref="E338:F338"/>
    <mergeCell ref="C354:G354"/>
    <mergeCell ref="H354:J354"/>
    <mergeCell ref="G599:H599"/>
    <mergeCell ref="G598:H598"/>
    <mergeCell ref="C324:D324"/>
    <mergeCell ref="B286:N286"/>
    <mergeCell ref="I299:J299"/>
    <mergeCell ref="C393:F393"/>
    <mergeCell ref="I152:J152"/>
    <mergeCell ref="F183:O183"/>
    <mergeCell ref="E283:O283"/>
    <mergeCell ref="C284:D284"/>
    <mergeCell ref="I216:J216"/>
    <mergeCell ref="C192:D192"/>
    <mergeCell ref="B228:D228"/>
    <mergeCell ref="B294:D294"/>
    <mergeCell ref="E294:F294"/>
    <mergeCell ref="G370:H370"/>
    <mergeCell ref="G297:H297"/>
    <mergeCell ref="G302:H302"/>
    <mergeCell ref="B300:D300"/>
    <mergeCell ref="E301:F301"/>
    <mergeCell ref="G298:H298"/>
    <mergeCell ref="B293:D293"/>
    <mergeCell ref="I294:J294"/>
    <mergeCell ref="K395:O395"/>
    <mergeCell ref="C395:D395"/>
    <mergeCell ref="E563:F563"/>
    <mergeCell ref="H390:O390"/>
    <mergeCell ref="B138:D138"/>
    <mergeCell ref="B145:D145"/>
    <mergeCell ref="I144:J144"/>
    <mergeCell ref="I145:J145"/>
    <mergeCell ref="K166:O166"/>
    <mergeCell ref="P309:P310"/>
    <mergeCell ref="G371:H371"/>
    <mergeCell ref="G374:H374"/>
    <mergeCell ref="B371:D371"/>
    <mergeCell ref="F333:O333"/>
    <mergeCell ref="C328:D328"/>
    <mergeCell ref="M343:N343"/>
    <mergeCell ref="M344:N344"/>
    <mergeCell ref="P352:P355"/>
    <mergeCell ref="C353:G353"/>
    <mergeCell ref="B306:P306"/>
    <mergeCell ref="G300:H300"/>
    <mergeCell ref="I300:J300"/>
    <mergeCell ref="I297:J297"/>
    <mergeCell ref="B308:P308"/>
    <mergeCell ref="B309:O309"/>
    <mergeCell ref="I303:J303"/>
    <mergeCell ref="E303:F303"/>
    <mergeCell ref="I304:J304"/>
    <mergeCell ref="G373:H373"/>
    <mergeCell ref="E372:F372"/>
    <mergeCell ref="G327:H327"/>
    <mergeCell ref="I323:J323"/>
    <mergeCell ref="B332:O332"/>
    <mergeCell ref="E321:F321"/>
    <mergeCell ref="K300:O304"/>
    <mergeCell ref="I328:J328"/>
    <mergeCell ref="H386:O386"/>
    <mergeCell ref="B387:E390"/>
    <mergeCell ref="F390:G390"/>
    <mergeCell ref="C263:D263"/>
    <mergeCell ref="F258:O258"/>
    <mergeCell ref="I378:J378"/>
    <mergeCell ref="B376:D376"/>
    <mergeCell ref="I372:J372"/>
    <mergeCell ref="H353:J353"/>
    <mergeCell ref="C357:D357"/>
    <mergeCell ref="C317:F317"/>
    <mergeCell ref="E366:F366"/>
    <mergeCell ref="B365:D365"/>
    <mergeCell ref="E365:F365"/>
    <mergeCell ref="H355:J355"/>
    <mergeCell ref="L355:N355"/>
    <mergeCell ref="C349:D349"/>
    <mergeCell ref="I375:J375"/>
    <mergeCell ref="E377:F377"/>
    <mergeCell ref="I377:J377"/>
    <mergeCell ref="B383:P383"/>
    <mergeCell ref="E378:F378"/>
    <mergeCell ref="G291:H291"/>
    <mergeCell ref="E295:F295"/>
    <mergeCell ref="H389:O389"/>
    <mergeCell ref="I267:J267"/>
    <mergeCell ref="K267:L267"/>
    <mergeCell ref="K328:O328"/>
    <mergeCell ref="E320:F320"/>
    <mergeCell ref="E368:F368"/>
    <mergeCell ref="B345:O345"/>
    <mergeCell ref="B312:O312"/>
    <mergeCell ref="B302:D302"/>
    <mergeCell ref="G304:H304"/>
    <mergeCell ref="E302:F302"/>
    <mergeCell ref="B282:B284"/>
    <mergeCell ref="B288:O288"/>
    <mergeCell ref="B257:O257"/>
    <mergeCell ref="M264:N264"/>
    <mergeCell ref="I217:J217"/>
    <mergeCell ref="E206:O206"/>
    <mergeCell ref="C193:D193"/>
    <mergeCell ref="E246:F246"/>
    <mergeCell ref="E282:O282"/>
    <mergeCell ref="G321:O321"/>
    <mergeCell ref="G214:J214"/>
    <mergeCell ref="B226:D226"/>
    <mergeCell ref="E225:F225"/>
    <mergeCell ref="G266:H266"/>
    <mergeCell ref="B297:D297"/>
    <mergeCell ref="H280:J280"/>
    <mergeCell ref="D258:E258"/>
    <mergeCell ref="M269:N269"/>
    <mergeCell ref="B214:F214"/>
    <mergeCell ref="I248:J248"/>
    <mergeCell ref="D183:E183"/>
    <mergeCell ref="C113:D113"/>
    <mergeCell ref="G70:H70"/>
    <mergeCell ref="G72:H72"/>
    <mergeCell ref="E300:F300"/>
    <mergeCell ref="I343:J343"/>
    <mergeCell ref="B337:O337"/>
    <mergeCell ref="D334:E334"/>
    <mergeCell ref="I338:J338"/>
    <mergeCell ref="K343:L343"/>
    <mergeCell ref="I365:J365"/>
    <mergeCell ref="E327:F327"/>
    <mergeCell ref="B262:O262"/>
    <mergeCell ref="K252:O252"/>
    <mergeCell ref="G272:H272"/>
    <mergeCell ref="E269:F269"/>
    <mergeCell ref="I268:J268"/>
    <mergeCell ref="C245:D245"/>
    <mergeCell ref="D261:E261"/>
    <mergeCell ref="G267:H267"/>
    <mergeCell ref="E149:F149"/>
    <mergeCell ref="G215:H215"/>
    <mergeCell ref="H202:J202"/>
    <mergeCell ref="L202:N202"/>
    <mergeCell ref="C167:D167"/>
    <mergeCell ref="C252:D252"/>
    <mergeCell ref="C190:D190"/>
    <mergeCell ref="I228:J228"/>
    <mergeCell ref="E226:F226"/>
    <mergeCell ref="K188:L188"/>
    <mergeCell ref="I187:J187"/>
    <mergeCell ref="M187:N187"/>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M1:P1"/>
    <mergeCell ref="I67:J67"/>
    <mergeCell ref="L51:N51"/>
    <mergeCell ref="E67:F67"/>
    <mergeCell ref="B2:P2"/>
    <mergeCell ref="M4:N4"/>
    <mergeCell ref="E4:F4"/>
    <mergeCell ref="G4:H4"/>
    <mergeCell ref="I4:J4"/>
    <mergeCell ref="B3:P3"/>
    <mergeCell ref="B6:O6"/>
    <mergeCell ref="B7:O7"/>
    <mergeCell ref="C4:D4"/>
    <mergeCell ref="G431:N431"/>
    <mergeCell ref="E530:F530"/>
    <mergeCell ref="I616:L616"/>
    <mergeCell ref="M616:P616"/>
    <mergeCell ref="B610:P610"/>
    <mergeCell ref="I603:J603"/>
    <mergeCell ref="B592:O592"/>
    <mergeCell ref="K594:O596"/>
    <mergeCell ref="B596:D596"/>
    <mergeCell ref="B593:O593"/>
    <mergeCell ref="G607:H607"/>
    <mergeCell ref="I607:J607"/>
    <mergeCell ref="I608:J608"/>
    <mergeCell ref="I599:J599"/>
    <mergeCell ref="E604:F604"/>
    <mergeCell ref="E606:F606"/>
    <mergeCell ref="E605:F605"/>
    <mergeCell ref="G605:H605"/>
    <mergeCell ref="B603:D603"/>
    <mergeCell ref="E602:F602"/>
    <mergeCell ref="G603:H603"/>
    <mergeCell ref="G602:H602"/>
    <mergeCell ref="I598:J598"/>
    <mergeCell ref="I602:J602"/>
    <mergeCell ref="B602:D602"/>
    <mergeCell ref="M615:P615"/>
    <mergeCell ref="G596:H596"/>
    <mergeCell ref="B606:D606"/>
    <mergeCell ref="B554:O554"/>
    <mergeCell ref="G606:H606"/>
    <mergeCell ref="I606:J606"/>
    <mergeCell ref="M500:N500"/>
    <mergeCell ref="E404:F404"/>
    <mergeCell ref="C413:O413"/>
    <mergeCell ref="F454:K454"/>
    <mergeCell ref="B411:O411"/>
    <mergeCell ref="L419:N419"/>
    <mergeCell ref="B424:O424"/>
    <mergeCell ref="E405:F405"/>
    <mergeCell ref="F470:K470"/>
    <mergeCell ref="M445:N445"/>
    <mergeCell ref="L444:L445"/>
    <mergeCell ref="F447:K447"/>
    <mergeCell ref="M461:N461"/>
    <mergeCell ref="L420:N420"/>
    <mergeCell ref="M427:N427"/>
    <mergeCell ref="I404:J404"/>
    <mergeCell ref="M430:N430"/>
    <mergeCell ref="L418:O418"/>
    <mergeCell ref="M446:N446"/>
    <mergeCell ref="L435:N435"/>
    <mergeCell ref="B410:O410"/>
    <mergeCell ref="G408:O408"/>
    <mergeCell ref="C415:O415"/>
    <mergeCell ref="M450:N450"/>
    <mergeCell ref="F462:K462"/>
    <mergeCell ref="B437:O437"/>
    <mergeCell ref="B430:G430"/>
    <mergeCell ref="M448:N448"/>
    <mergeCell ref="F446:K446"/>
    <mergeCell ref="F448:K448"/>
    <mergeCell ref="B446:D450"/>
    <mergeCell ref="M468:N468"/>
    <mergeCell ref="F468:K468"/>
    <mergeCell ref="E607:F607"/>
    <mergeCell ref="B605:D605"/>
    <mergeCell ref="I601:J601"/>
    <mergeCell ref="G601:H601"/>
    <mergeCell ref="P594:P609"/>
    <mergeCell ref="B613:P613"/>
    <mergeCell ref="F518:K518"/>
    <mergeCell ref="F504:K504"/>
    <mergeCell ref="F505:K505"/>
    <mergeCell ref="B512:O512"/>
    <mergeCell ref="M498:N498"/>
    <mergeCell ref="M485:N485"/>
    <mergeCell ref="M480:N480"/>
    <mergeCell ref="M504:N504"/>
    <mergeCell ref="I596:J596"/>
    <mergeCell ref="B609:O609"/>
    <mergeCell ref="K603:O608"/>
    <mergeCell ref="M499:N499"/>
    <mergeCell ref="B542:D542"/>
    <mergeCell ref="B539:D539"/>
    <mergeCell ref="G533:H533"/>
    <mergeCell ref="I533:J533"/>
    <mergeCell ref="F484:K484"/>
    <mergeCell ref="G549:H549"/>
    <mergeCell ref="I549:J549"/>
    <mergeCell ref="G542:H542"/>
    <mergeCell ref="E539:F539"/>
    <mergeCell ref="B537:D537"/>
    <mergeCell ref="I539:J539"/>
    <mergeCell ref="I543:J543"/>
    <mergeCell ref="L520:M520"/>
    <mergeCell ref="I604:J604"/>
    <mergeCell ref="M472:N472"/>
    <mergeCell ref="B429:F429"/>
    <mergeCell ref="K428:L428"/>
    <mergeCell ref="M474:N474"/>
    <mergeCell ref="M467:N467"/>
    <mergeCell ref="F486:K486"/>
    <mergeCell ref="F489:K489"/>
    <mergeCell ref="F501:K501"/>
    <mergeCell ref="F496:K496"/>
    <mergeCell ref="M503:N503"/>
    <mergeCell ref="K429:L429"/>
    <mergeCell ref="M429:N429"/>
    <mergeCell ref="H428:J428"/>
    <mergeCell ref="H429:J429"/>
    <mergeCell ref="K404:O404"/>
    <mergeCell ref="F456:K456"/>
    <mergeCell ref="B433:O433"/>
    <mergeCell ref="B431:F431"/>
    <mergeCell ref="B438:F439"/>
    <mergeCell ref="G435:K435"/>
    <mergeCell ref="L434:N434"/>
    <mergeCell ref="B465:L465"/>
    <mergeCell ref="M455:N455"/>
    <mergeCell ref="F467:K467"/>
    <mergeCell ref="M447:N447"/>
    <mergeCell ref="F499:K499"/>
    <mergeCell ref="M482:N482"/>
    <mergeCell ref="G405:O405"/>
    <mergeCell ref="C405:D405"/>
    <mergeCell ref="G423:H423"/>
    <mergeCell ref="H427:J427"/>
    <mergeCell ref="M470:N470"/>
    <mergeCell ref="C419:G419"/>
    <mergeCell ref="F464:K464"/>
    <mergeCell ref="E536:F536"/>
    <mergeCell ref="E538:F538"/>
    <mergeCell ref="B425:O425"/>
    <mergeCell ref="F474:K474"/>
    <mergeCell ref="B432:F432"/>
    <mergeCell ref="B440:O440"/>
    <mergeCell ref="G439:K439"/>
    <mergeCell ref="G434:K434"/>
    <mergeCell ref="G422:H422"/>
    <mergeCell ref="G438:K438"/>
    <mergeCell ref="M489:N489"/>
    <mergeCell ref="M481:N481"/>
    <mergeCell ref="M475:N475"/>
    <mergeCell ref="F488:K488"/>
    <mergeCell ref="M479:N479"/>
    <mergeCell ref="F471:K471"/>
    <mergeCell ref="M491:N491"/>
    <mergeCell ref="M487:N487"/>
    <mergeCell ref="F473:K473"/>
    <mergeCell ref="M465:O465"/>
    <mergeCell ref="F490:K490"/>
    <mergeCell ref="F495:K495"/>
    <mergeCell ref="H430:J430"/>
    <mergeCell ref="B494:O494"/>
    <mergeCell ref="C420:G420"/>
    <mergeCell ref="B516:O516"/>
    <mergeCell ref="F463:K463"/>
    <mergeCell ref="F480:K480"/>
    <mergeCell ref="B510:O510"/>
    <mergeCell ref="M476:N476"/>
    <mergeCell ref="F476:K476"/>
    <mergeCell ref="I540:J540"/>
    <mergeCell ref="B517:O517"/>
    <mergeCell ref="L518:M518"/>
    <mergeCell ref="F497:K497"/>
    <mergeCell ref="I534:J534"/>
    <mergeCell ref="B508:O508"/>
    <mergeCell ref="E532:F532"/>
    <mergeCell ref="N518:O518"/>
    <mergeCell ref="M502:N502"/>
    <mergeCell ref="B311:P311"/>
    <mergeCell ref="H278:J278"/>
    <mergeCell ref="E349:F349"/>
    <mergeCell ref="I349:J349"/>
    <mergeCell ref="C352:G352"/>
    <mergeCell ref="H352:J352"/>
    <mergeCell ref="G404:H404"/>
    <mergeCell ref="B453:P453"/>
    <mergeCell ref="B442:P442"/>
    <mergeCell ref="F450:K450"/>
    <mergeCell ref="F455:K455"/>
    <mergeCell ref="F449:K449"/>
    <mergeCell ref="P414:P415"/>
    <mergeCell ref="F491:K491"/>
    <mergeCell ref="M505:N505"/>
    <mergeCell ref="G395:H395"/>
    <mergeCell ref="I395:J395"/>
    <mergeCell ref="E395:F395"/>
    <mergeCell ref="C396:D396"/>
    <mergeCell ref="F457:K457"/>
    <mergeCell ref="B441:O441"/>
    <mergeCell ref="F472:K472"/>
    <mergeCell ref="C402:D402"/>
    <mergeCell ref="I402:J402"/>
    <mergeCell ref="C403:D403"/>
    <mergeCell ref="C404:D404"/>
    <mergeCell ref="C399:F399"/>
    <mergeCell ref="C407:D407"/>
    <mergeCell ref="M471:N471"/>
    <mergeCell ref="F500:K500"/>
    <mergeCell ref="F485:K485"/>
    <mergeCell ref="M462:N462"/>
    <mergeCell ref="P399:P407"/>
    <mergeCell ref="G399:J399"/>
    <mergeCell ref="E402:F402"/>
    <mergeCell ref="K399:O399"/>
    <mergeCell ref="I406:J406"/>
    <mergeCell ref="C406:D406"/>
    <mergeCell ref="K406:O406"/>
    <mergeCell ref="E400:F400"/>
    <mergeCell ref="I400:J400"/>
    <mergeCell ref="K400:O400"/>
    <mergeCell ref="E406:F406"/>
    <mergeCell ref="B428:G428"/>
    <mergeCell ref="M483:N483"/>
    <mergeCell ref="M495:N495"/>
    <mergeCell ref="M497:N497"/>
    <mergeCell ref="M469:N469"/>
    <mergeCell ref="B422:F422"/>
    <mergeCell ref="M449:N449"/>
    <mergeCell ref="F460:K460"/>
    <mergeCell ref="B409:O409"/>
    <mergeCell ref="B414:O414"/>
    <mergeCell ref="B421:O421"/>
    <mergeCell ref="H279:J279"/>
    <mergeCell ref="L279:N279"/>
    <mergeCell ref="C273:D273"/>
    <mergeCell ref="F336:O336"/>
    <mergeCell ref="H388:O388"/>
    <mergeCell ref="K368:O372"/>
    <mergeCell ref="B384:O384"/>
    <mergeCell ref="E369:F369"/>
    <mergeCell ref="G378:H378"/>
    <mergeCell ref="B379:D379"/>
    <mergeCell ref="B375:D375"/>
    <mergeCell ref="E379:F379"/>
    <mergeCell ref="E284:O284"/>
    <mergeCell ref="B270:O270"/>
    <mergeCell ref="G292:H292"/>
    <mergeCell ref="K293:O297"/>
    <mergeCell ref="C280:G280"/>
    <mergeCell ref="I324:J324"/>
    <mergeCell ref="E318:F318"/>
    <mergeCell ref="K319:O319"/>
    <mergeCell ref="K324:O324"/>
    <mergeCell ref="C327:D327"/>
    <mergeCell ref="D335:E335"/>
    <mergeCell ref="C319:D319"/>
    <mergeCell ref="C341:D341"/>
    <mergeCell ref="E342:F342"/>
    <mergeCell ref="G273:H273"/>
    <mergeCell ref="G294:H294"/>
    <mergeCell ref="B304:D304"/>
    <mergeCell ref="E304:F304"/>
    <mergeCell ref="G328:H328"/>
    <mergeCell ref="K322:N322"/>
    <mergeCell ref="M457:N457"/>
    <mergeCell ref="H420:J420"/>
    <mergeCell ref="M454:N454"/>
    <mergeCell ref="B458:O458"/>
    <mergeCell ref="K242:O242"/>
    <mergeCell ref="B239:O239"/>
    <mergeCell ref="K244:O244"/>
    <mergeCell ref="C264:D264"/>
    <mergeCell ref="K251:N251"/>
    <mergeCell ref="G229:H229"/>
    <mergeCell ref="I249:J249"/>
    <mergeCell ref="B233:P233"/>
    <mergeCell ref="K430:L430"/>
    <mergeCell ref="B378:D378"/>
    <mergeCell ref="B377:D377"/>
    <mergeCell ref="G377:H377"/>
    <mergeCell ref="G379:H379"/>
    <mergeCell ref="I379:J379"/>
    <mergeCell ref="G401:O401"/>
    <mergeCell ref="G403:O403"/>
    <mergeCell ref="G303:H303"/>
    <mergeCell ref="B290:D290"/>
    <mergeCell ref="K326:N326"/>
    <mergeCell ref="E299:F299"/>
    <mergeCell ref="C397:D397"/>
    <mergeCell ref="B398:F398"/>
    <mergeCell ref="E407:F407"/>
    <mergeCell ref="C401:D401"/>
    <mergeCell ref="K402:O402"/>
    <mergeCell ref="K268:L268"/>
    <mergeCell ref="M274:N274"/>
    <mergeCell ref="C400:D400"/>
    <mergeCell ref="G172:H172"/>
    <mergeCell ref="K169:O169"/>
    <mergeCell ref="G169:H169"/>
    <mergeCell ref="I169:J169"/>
    <mergeCell ref="I167:J167"/>
    <mergeCell ref="I168:J168"/>
    <mergeCell ref="B160:O160"/>
    <mergeCell ref="E198:F198"/>
    <mergeCell ref="K193:L193"/>
    <mergeCell ref="K191:L191"/>
    <mergeCell ref="B175:J175"/>
    <mergeCell ref="E174:F174"/>
    <mergeCell ref="C173:D173"/>
    <mergeCell ref="B194:O194"/>
    <mergeCell ref="M193:N193"/>
    <mergeCell ref="G190:H190"/>
    <mergeCell ref="C166:F166"/>
    <mergeCell ref="G166:J166"/>
    <mergeCell ref="F185:O185"/>
    <mergeCell ref="M188:N188"/>
    <mergeCell ref="K189:L189"/>
    <mergeCell ref="C189:D189"/>
    <mergeCell ref="E189:F189"/>
    <mergeCell ref="I189:J189"/>
    <mergeCell ref="C188:D188"/>
    <mergeCell ref="C196:D196"/>
    <mergeCell ref="C178:D178"/>
    <mergeCell ref="E178:F178"/>
    <mergeCell ref="G178:O178"/>
    <mergeCell ref="I193:J193"/>
    <mergeCell ref="K176:O176"/>
    <mergeCell ref="K196:L196"/>
    <mergeCell ref="I263:J263"/>
    <mergeCell ref="G269:H269"/>
    <mergeCell ref="M263:N263"/>
    <mergeCell ref="K248:O248"/>
    <mergeCell ref="C253:D253"/>
    <mergeCell ref="E253:F253"/>
    <mergeCell ref="E249:F249"/>
    <mergeCell ref="F259:O259"/>
    <mergeCell ref="D260:E260"/>
    <mergeCell ref="B258:C261"/>
    <mergeCell ref="K264:L264"/>
    <mergeCell ref="E265:F265"/>
    <mergeCell ref="B220:D220"/>
    <mergeCell ref="I220:J220"/>
    <mergeCell ref="G217:H217"/>
    <mergeCell ref="G245:H245"/>
    <mergeCell ref="E248:F248"/>
    <mergeCell ref="G228:H228"/>
    <mergeCell ref="B229:D229"/>
    <mergeCell ref="E222:F222"/>
    <mergeCell ref="B234:O234"/>
    <mergeCell ref="E221:F221"/>
    <mergeCell ref="I245:J245"/>
    <mergeCell ref="G250:O250"/>
    <mergeCell ref="K249:O249"/>
    <mergeCell ref="I226:J226"/>
    <mergeCell ref="I223:J223"/>
    <mergeCell ref="I252:J252"/>
    <mergeCell ref="C250:D250"/>
    <mergeCell ref="G248:H248"/>
    <mergeCell ref="C269:D269"/>
    <mergeCell ref="G220:H220"/>
    <mergeCell ref="K247:N247"/>
    <mergeCell ref="B225:D225"/>
    <mergeCell ref="L201:O201"/>
    <mergeCell ref="B224:D224"/>
    <mergeCell ref="G219:H219"/>
    <mergeCell ref="I227:J227"/>
    <mergeCell ref="G224:H224"/>
    <mergeCell ref="C254:D254"/>
    <mergeCell ref="B236:P236"/>
    <mergeCell ref="B237:O237"/>
    <mergeCell ref="E244:F244"/>
    <mergeCell ref="E227:F227"/>
    <mergeCell ref="G193:H193"/>
    <mergeCell ref="E190:F190"/>
    <mergeCell ref="C191:D191"/>
    <mergeCell ref="G221:H221"/>
    <mergeCell ref="K218:O222"/>
    <mergeCell ref="B241:O241"/>
    <mergeCell ref="C243:D243"/>
    <mergeCell ref="B222:D222"/>
    <mergeCell ref="E191:F191"/>
    <mergeCell ref="K192:L192"/>
    <mergeCell ref="I192:J192"/>
    <mergeCell ref="H203:J203"/>
    <mergeCell ref="E224:F224"/>
    <mergeCell ref="B218:D218"/>
    <mergeCell ref="E215:F215"/>
    <mergeCell ref="B235:O235"/>
    <mergeCell ref="B238:O238"/>
    <mergeCell ref="K214:O217"/>
    <mergeCell ref="B223:D223"/>
    <mergeCell ref="B219:D219"/>
    <mergeCell ref="G226:H226"/>
    <mergeCell ref="P241:P256"/>
    <mergeCell ref="P214:P230"/>
    <mergeCell ref="B227:D227"/>
    <mergeCell ref="G254:O254"/>
    <mergeCell ref="I225:J225"/>
    <mergeCell ref="B136:O136"/>
    <mergeCell ref="D182:E182"/>
    <mergeCell ref="B154:P154"/>
    <mergeCell ref="K168:O168"/>
    <mergeCell ref="B157:O157"/>
    <mergeCell ref="B163:O163"/>
    <mergeCell ref="I149:J149"/>
    <mergeCell ref="G145:H145"/>
    <mergeCell ref="I243:J243"/>
    <mergeCell ref="G188:H188"/>
    <mergeCell ref="C187:D187"/>
    <mergeCell ref="E173:F173"/>
    <mergeCell ref="G173:H173"/>
    <mergeCell ref="I140:J140"/>
    <mergeCell ref="E140:F140"/>
    <mergeCell ref="E138:F138"/>
    <mergeCell ref="C206:D206"/>
    <mergeCell ref="I95:J95"/>
    <mergeCell ref="B76:D76"/>
    <mergeCell ref="C97:D97"/>
    <mergeCell ref="D108:E108"/>
    <mergeCell ref="D106:E106"/>
    <mergeCell ref="B84:O84"/>
    <mergeCell ref="K91:O91"/>
    <mergeCell ref="B80:P80"/>
    <mergeCell ref="P60:P78"/>
    <mergeCell ref="G69:H69"/>
    <mergeCell ref="G64:H64"/>
    <mergeCell ref="E90:F90"/>
    <mergeCell ref="B60:F60"/>
    <mergeCell ref="K96:O96"/>
    <mergeCell ref="B82:O82"/>
    <mergeCell ref="E77:F77"/>
    <mergeCell ref="E75:F75"/>
    <mergeCell ref="G68:H68"/>
    <mergeCell ref="I66:J66"/>
    <mergeCell ref="I65:J65"/>
    <mergeCell ref="I90:J90"/>
    <mergeCell ref="K90:O90"/>
    <mergeCell ref="B75:D75"/>
    <mergeCell ref="E66:F66"/>
    <mergeCell ref="B79:P79"/>
    <mergeCell ref="I24:J24"/>
    <mergeCell ref="C24:D24"/>
    <mergeCell ref="B36:O36"/>
    <mergeCell ref="F55:O55"/>
    <mergeCell ref="E31:F31"/>
    <mergeCell ref="B54:C55"/>
    <mergeCell ref="D54:E54"/>
    <mergeCell ref="E70:F70"/>
    <mergeCell ref="B72:D72"/>
    <mergeCell ref="K65:O69"/>
    <mergeCell ref="G60:J60"/>
    <mergeCell ref="G93:O93"/>
    <mergeCell ref="D55:E55"/>
    <mergeCell ref="B53:O53"/>
    <mergeCell ref="K24:O24"/>
    <mergeCell ref="E24:F24"/>
    <mergeCell ref="E26:J27"/>
    <mergeCell ref="G31:H31"/>
    <mergeCell ref="K26:N26"/>
    <mergeCell ref="B28:O28"/>
    <mergeCell ref="C52:G52"/>
    <mergeCell ref="E35:F35"/>
    <mergeCell ref="D45:E45"/>
    <mergeCell ref="B44:C47"/>
    <mergeCell ref="B41:O41"/>
    <mergeCell ref="B42:O42"/>
    <mergeCell ref="M35:N35"/>
    <mergeCell ref="B59:O59"/>
    <mergeCell ref="G63:H63"/>
    <mergeCell ref="C27:D27"/>
    <mergeCell ref="M29:N29"/>
    <mergeCell ref="E32:F32"/>
    <mergeCell ref="K38:L38"/>
    <mergeCell ref="G33:H33"/>
    <mergeCell ref="D44:E44"/>
    <mergeCell ref="K33:L33"/>
    <mergeCell ref="B57:N57"/>
    <mergeCell ref="C51:G51"/>
    <mergeCell ref="K225:O229"/>
    <mergeCell ref="E250:F250"/>
    <mergeCell ref="B231:P231"/>
    <mergeCell ref="C249:D249"/>
    <mergeCell ref="B240:O240"/>
    <mergeCell ref="C202:G202"/>
    <mergeCell ref="P237:P239"/>
    <mergeCell ref="G35:H35"/>
    <mergeCell ref="G30:H30"/>
    <mergeCell ref="P16:P27"/>
    <mergeCell ref="P234:P235"/>
    <mergeCell ref="G76:H76"/>
    <mergeCell ref="B88:O88"/>
    <mergeCell ref="G74:H74"/>
    <mergeCell ref="E72:F72"/>
    <mergeCell ref="I72:J72"/>
    <mergeCell ref="C91:D91"/>
    <mergeCell ref="C203:G203"/>
    <mergeCell ref="E25:F25"/>
    <mergeCell ref="M34:N34"/>
    <mergeCell ref="B22:J22"/>
    <mergeCell ref="K4:L4"/>
    <mergeCell ref="E18:F18"/>
    <mergeCell ref="C29:D29"/>
    <mergeCell ref="C33:D33"/>
    <mergeCell ref="E64:F64"/>
    <mergeCell ref="I272:J272"/>
    <mergeCell ref="B148:D148"/>
    <mergeCell ref="G249:H249"/>
    <mergeCell ref="I229:J229"/>
    <mergeCell ref="E229:F229"/>
    <mergeCell ref="E73:F73"/>
    <mergeCell ref="N11:O11"/>
    <mergeCell ref="K17:O17"/>
    <mergeCell ref="K18:O18"/>
    <mergeCell ref="G18:H18"/>
    <mergeCell ref="I32:J32"/>
    <mergeCell ref="K35:L35"/>
    <mergeCell ref="C35:D35"/>
    <mergeCell ref="M30:N30"/>
    <mergeCell ref="M31:N31"/>
    <mergeCell ref="E29:F29"/>
    <mergeCell ref="E30:F30"/>
    <mergeCell ref="C25:D25"/>
    <mergeCell ref="C32:D32"/>
    <mergeCell ref="K23:O23"/>
    <mergeCell ref="I264:J264"/>
    <mergeCell ref="E228:F228"/>
    <mergeCell ref="F54:O54"/>
    <mergeCell ref="C38:D38"/>
    <mergeCell ref="B71:D71"/>
    <mergeCell ref="I74:J74"/>
    <mergeCell ref="C242:F242"/>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I19:J19"/>
    <mergeCell ref="K20:O20"/>
    <mergeCell ref="B11:M14"/>
    <mergeCell ref="N14:O14"/>
    <mergeCell ref="N12:O12"/>
    <mergeCell ref="N13:O13"/>
    <mergeCell ref="E19:F19"/>
    <mergeCell ref="E20:F20"/>
    <mergeCell ref="K22:N22"/>
    <mergeCell ref="B9:O9"/>
    <mergeCell ref="I20:J20"/>
    <mergeCell ref="L204:N204"/>
    <mergeCell ref="B199:O199"/>
    <mergeCell ref="M197:N197"/>
    <mergeCell ref="I191:J191"/>
    <mergeCell ref="C197:D197"/>
    <mergeCell ref="F109:O109"/>
    <mergeCell ref="D109:E109"/>
    <mergeCell ref="K197:L197"/>
    <mergeCell ref="I188:J188"/>
    <mergeCell ref="E151:F151"/>
    <mergeCell ref="B162:O162"/>
    <mergeCell ref="K137:O140"/>
    <mergeCell ref="G265:H265"/>
    <mergeCell ref="E208:O208"/>
    <mergeCell ref="B247:J247"/>
    <mergeCell ref="E292:F292"/>
    <mergeCell ref="B281:O281"/>
    <mergeCell ref="I222:J222"/>
    <mergeCell ref="G244:H244"/>
    <mergeCell ref="G198:H198"/>
    <mergeCell ref="B213:O213"/>
    <mergeCell ref="E264:F264"/>
    <mergeCell ref="K253:O253"/>
    <mergeCell ref="E254:F254"/>
    <mergeCell ref="G253:H253"/>
    <mergeCell ref="C265:D265"/>
    <mergeCell ref="B251:J251"/>
    <mergeCell ref="G252:H252"/>
    <mergeCell ref="M265:N265"/>
    <mergeCell ref="E245:F245"/>
    <mergeCell ref="F260:O260"/>
    <mergeCell ref="C272:D272"/>
    <mergeCell ref="F45:O45"/>
    <mergeCell ref="F46:O46"/>
    <mergeCell ref="G32:H32"/>
    <mergeCell ref="E33:F33"/>
    <mergeCell ref="E34:F34"/>
    <mergeCell ref="I29:J29"/>
    <mergeCell ref="G34:H34"/>
    <mergeCell ref="L52:N52"/>
    <mergeCell ref="B48:O48"/>
    <mergeCell ref="F47:O47"/>
    <mergeCell ref="D47:E47"/>
    <mergeCell ref="H52:J52"/>
    <mergeCell ref="I38:J38"/>
    <mergeCell ref="K32:L32"/>
    <mergeCell ref="I40:J40"/>
    <mergeCell ref="C31:D31"/>
    <mergeCell ref="C30:D30"/>
    <mergeCell ref="M32:N32"/>
    <mergeCell ref="L50:O50"/>
    <mergeCell ref="I35:J35"/>
    <mergeCell ref="K34:L34"/>
    <mergeCell ref="I30:J30"/>
    <mergeCell ref="I31:J31"/>
    <mergeCell ref="M33:N33"/>
    <mergeCell ref="F389:G389"/>
    <mergeCell ref="I320:J320"/>
    <mergeCell ref="E319:F319"/>
    <mergeCell ref="C320:D320"/>
    <mergeCell ref="K327:O327"/>
    <mergeCell ref="G320:H320"/>
    <mergeCell ref="D336:E336"/>
    <mergeCell ref="C329:D329"/>
    <mergeCell ref="B363:O363"/>
    <mergeCell ref="B315:O315"/>
    <mergeCell ref="B316:O316"/>
    <mergeCell ref="B211:N211"/>
    <mergeCell ref="I224:J224"/>
    <mergeCell ref="G225:H225"/>
    <mergeCell ref="L278:N278"/>
    <mergeCell ref="E403:F403"/>
    <mergeCell ref="B392:O392"/>
    <mergeCell ref="B386:E386"/>
    <mergeCell ref="F387:G387"/>
    <mergeCell ref="H387:O387"/>
    <mergeCell ref="C279:G279"/>
    <mergeCell ref="K272:L272"/>
    <mergeCell ref="E296:F296"/>
    <mergeCell ref="M273:N273"/>
    <mergeCell ref="E274:F274"/>
    <mergeCell ref="G274:H274"/>
    <mergeCell ref="I274:J274"/>
    <mergeCell ref="B296:D296"/>
    <mergeCell ref="B289:F289"/>
    <mergeCell ref="B350:O350"/>
    <mergeCell ref="J330:N330"/>
    <mergeCell ref="J331:O331"/>
    <mergeCell ref="K344:L344"/>
    <mergeCell ref="C343:D343"/>
    <mergeCell ref="I370:J370"/>
    <mergeCell ref="I348:J348"/>
    <mergeCell ref="K349:L349"/>
    <mergeCell ref="G339:H339"/>
    <mergeCell ref="K364:O367"/>
    <mergeCell ref="E367:F367"/>
    <mergeCell ref="E358:O358"/>
    <mergeCell ref="E344:F344"/>
    <mergeCell ref="G343:H343"/>
    <mergeCell ref="C325:D325"/>
    <mergeCell ref="C340:D340"/>
    <mergeCell ref="F335:O335"/>
    <mergeCell ref="B361:N361"/>
    <mergeCell ref="I376:J376"/>
    <mergeCell ref="G376:H376"/>
    <mergeCell ref="E374:F374"/>
    <mergeCell ref="B366:D366"/>
    <mergeCell ref="I344:J344"/>
    <mergeCell ref="E348:F348"/>
    <mergeCell ref="K341:L341"/>
    <mergeCell ref="E370:F370"/>
    <mergeCell ref="B370:D370"/>
    <mergeCell ref="B367:D367"/>
    <mergeCell ref="B369:D369"/>
    <mergeCell ref="K347:L347"/>
    <mergeCell ref="C359:D359"/>
    <mergeCell ref="E359:O359"/>
    <mergeCell ref="G341:H341"/>
    <mergeCell ref="M338:N338"/>
    <mergeCell ref="K340:L340"/>
    <mergeCell ref="M347:N347"/>
    <mergeCell ref="B360:O360"/>
    <mergeCell ref="P438:P439"/>
    <mergeCell ref="H418:J418"/>
    <mergeCell ref="H419:J419"/>
    <mergeCell ref="P427:P430"/>
    <mergeCell ref="P434:P435"/>
    <mergeCell ref="I319:J319"/>
    <mergeCell ref="G324:H324"/>
    <mergeCell ref="B322:J322"/>
    <mergeCell ref="K323:O323"/>
    <mergeCell ref="C344:D344"/>
    <mergeCell ref="C347:D347"/>
    <mergeCell ref="C348:D348"/>
    <mergeCell ref="I341:J341"/>
    <mergeCell ref="K342:L342"/>
    <mergeCell ref="G340:H340"/>
    <mergeCell ref="I340:J340"/>
    <mergeCell ref="E340:F340"/>
    <mergeCell ref="C339:D339"/>
    <mergeCell ref="L353:N353"/>
    <mergeCell ref="E357:O357"/>
    <mergeCell ref="G402:H402"/>
    <mergeCell ref="E343:F343"/>
    <mergeCell ref="C342:D342"/>
    <mergeCell ref="I342:J342"/>
    <mergeCell ref="M340:N340"/>
    <mergeCell ref="C358:D358"/>
    <mergeCell ref="M339:N339"/>
    <mergeCell ref="B362:N362"/>
    <mergeCell ref="B364:F364"/>
    <mergeCell ref="C338:D338"/>
    <mergeCell ref="G349:H349"/>
    <mergeCell ref="C355:G355"/>
    <mergeCell ref="M501:N501"/>
    <mergeCell ref="E541:F541"/>
    <mergeCell ref="I531:J531"/>
    <mergeCell ref="B477:O477"/>
    <mergeCell ref="I535:J535"/>
    <mergeCell ref="G536:H536"/>
    <mergeCell ref="I536:J536"/>
    <mergeCell ref="F521:K521"/>
    <mergeCell ref="F522:K522"/>
    <mergeCell ref="E533:F533"/>
    <mergeCell ref="F503:K503"/>
    <mergeCell ref="F502:K502"/>
    <mergeCell ref="E531:F531"/>
    <mergeCell ref="F487:K487"/>
    <mergeCell ref="M484:N484"/>
    <mergeCell ref="M486:N486"/>
    <mergeCell ref="M496:N496"/>
    <mergeCell ref="N522:O522"/>
    <mergeCell ref="B514:K514"/>
    <mergeCell ref="L514:O514"/>
    <mergeCell ref="I528:J528"/>
    <mergeCell ref="L521:M521"/>
    <mergeCell ref="G535:H535"/>
    <mergeCell ref="G532:H532"/>
    <mergeCell ref="F479:K479"/>
    <mergeCell ref="M488:N488"/>
    <mergeCell ref="B492:O492"/>
    <mergeCell ref="B493:O493"/>
    <mergeCell ref="F482:K482"/>
    <mergeCell ref="F483:K483"/>
    <mergeCell ref="AM565:AM568"/>
    <mergeCell ref="W562:X562"/>
    <mergeCell ref="C567:D567"/>
    <mergeCell ref="C568:D568"/>
    <mergeCell ref="E562:F562"/>
    <mergeCell ref="AI565:AI568"/>
    <mergeCell ref="AD566:AG566"/>
    <mergeCell ref="AK565:AK568"/>
    <mergeCell ref="E567:F567"/>
    <mergeCell ref="E564:F564"/>
    <mergeCell ref="AL565:AL568"/>
    <mergeCell ref="AD565:AG565"/>
    <mergeCell ref="P560:P569"/>
    <mergeCell ref="G566:H566"/>
    <mergeCell ref="G565:O565"/>
    <mergeCell ref="G568:H568"/>
    <mergeCell ref="K568:O568"/>
    <mergeCell ref="K566:O566"/>
    <mergeCell ref="AJ565:AJ568"/>
    <mergeCell ref="G567:O567"/>
    <mergeCell ref="K561:O561"/>
    <mergeCell ref="I562:J562"/>
    <mergeCell ref="I564:J564"/>
    <mergeCell ref="C564:D564"/>
    <mergeCell ref="C565:D565"/>
    <mergeCell ref="C562:D562"/>
    <mergeCell ref="G562:H562"/>
    <mergeCell ref="C563:D563"/>
    <mergeCell ref="T560:U560"/>
    <mergeCell ref="H633:J633"/>
    <mergeCell ref="H632:J632"/>
    <mergeCell ref="AK403:AK406"/>
    <mergeCell ref="AL403:AL406"/>
    <mergeCell ref="P411:P412"/>
    <mergeCell ref="V569:AC569"/>
    <mergeCell ref="K427:L427"/>
    <mergeCell ref="E553:F553"/>
    <mergeCell ref="G569:O569"/>
    <mergeCell ref="I568:J568"/>
    <mergeCell ref="G530:H530"/>
    <mergeCell ref="G527:J527"/>
    <mergeCell ref="AJ403:AJ406"/>
    <mergeCell ref="M456:N456"/>
    <mergeCell ref="B451:O451"/>
    <mergeCell ref="B452:O452"/>
    <mergeCell ref="F481:K481"/>
    <mergeCell ref="L439:N439"/>
    <mergeCell ref="M464:N464"/>
    <mergeCell ref="F475:K475"/>
    <mergeCell ref="B436:O436"/>
    <mergeCell ref="M490:N490"/>
    <mergeCell ref="P518:P523"/>
    <mergeCell ref="B506:O506"/>
    <mergeCell ref="M473:N473"/>
    <mergeCell ref="L438:N438"/>
    <mergeCell ref="B524:P524"/>
    <mergeCell ref="P516:P517"/>
    <mergeCell ref="P512:P513"/>
    <mergeCell ref="AB537:AD537"/>
    <mergeCell ref="N520:O520"/>
    <mergeCell ref="M460:N460"/>
    <mergeCell ref="L632:M632"/>
    <mergeCell ref="O632:P632"/>
    <mergeCell ref="G541:H541"/>
    <mergeCell ref="B637:P637"/>
    <mergeCell ref="C622:D622"/>
    <mergeCell ref="C621:D621"/>
    <mergeCell ref="C617:D617"/>
    <mergeCell ref="C618:D618"/>
    <mergeCell ref="C619:D619"/>
    <mergeCell ref="B625:P625"/>
    <mergeCell ref="C626:E626"/>
    <mergeCell ref="F626:P626"/>
    <mergeCell ref="C636:D636"/>
    <mergeCell ref="H636:J636"/>
    <mergeCell ref="L636:M636"/>
    <mergeCell ref="O636:P636"/>
    <mergeCell ref="C635:D635"/>
    <mergeCell ref="C634:D634"/>
    <mergeCell ref="F629:G629"/>
    <mergeCell ref="H629:J629"/>
    <mergeCell ref="B624:P624"/>
    <mergeCell ref="F622:G622"/>
    <mergeCell ref="M622:P622"/>
    <mergeCell ref="B627:P627"/>
    <mergeCell ref="O634:P634"/>
    <mergeCell ref="H635:J635"/>
    <mergeCell ref="B628:P628"/>
    <mergeCell ref="F621:G621"/>
    <mergeCell ref="L631:M631"/>
    <mergeCell ref="C620:D620"/>
    <mergeCell ref="L629:M629"/>
    <mergeCell ref="L630:M630"/>
    <mergeCell ref="C518:E518"/>
    <mergeCell ref="F519:K519"/>
    <mergeCell ref="B529:D529"/>
    <mergeCell ref="E548:F548"/>
    <mergeCell ref="G550:H550"/>
    <mergeCell ref="I550:J550"/>
    <mergeCell ref="B525:O525"/>
    <mergeCell ref="C522:E522"/>
    <mergeCell ref="E547:F547"/>
    <mergeCell ref="G537:H537"/>
    <mergeCell ref="G538:H538"/>
    <mergeCell ref="B538:D538"/>
    <mergeCell ref="G547:H547"/>
    <mergeCell ref="E542:F542"/>
    <mergeCell ref="G546:H546"/>
    <mergeCell ref="E534:F534"/>
    <mergeCell ref="B523:O523"/>
    <mergeCell ref="C521:E521"/>
    <mergeCell ref="G529:H529"/>
    <mergeCell ref="B549:D549"/>
    <mergeCell ref="B526:O526"/>
    <mergeCell ref="I542:J542"/>
    <mergeCell ref="K538:O543"/>
    <mergeCell ref="B540:D540"/>
    <mergeCell ref="B545:B546"/>
    <mergeCell ref="I538:J538"/>
    <mergeCell ref="E529:F529"/>
    <mergeCell ref="H630:J630"/>
    <mergeCell ref="B527:F527"/>
    <mergeCell ref="G534:H534"/>
    <mergeCell ref="K531:O537"/>
    <mergeCell ref="G531:H531"/>
    <mergeCell ref="I547:J547"/>
    <mergeCell ref="B556:O556"/>
    <mergeCell ref="I553:J553"/>
    <mergeCell ref="B552:D552"/>
    <mergeCell ref="B531:D531"/>
    <mergeCell ref="K527:O530"/>
    <mergeCell ref="E549:F549"/>
    <mergeCell ref="E568:F568"/>
    <mergeCell ref="E565:F565"/>
    <mergeCell ref="E566:F566"/>
    <mergeCell ref="I544:J544"/>
    <mergeCell ref="P590:P591"/>
    <mergeCell ref="I532:J532"/>
    <mergeCell ref="B528:D528"/>
    <mergeCell ref="I545:J545"/>
    <mergeCell ref="I577:O577"/>
    <mergeCell ref="B575:J575"/>
    <mergeCell ref="B608:D608"/>
    <mergeCell ref="M617:P617"/>
    <mergeCell ref="P586:P587"/>
    <mergeCell ref="B597:D597"/>
    <mergeCell ref="G563:O563"/>
    <mergeCell ref="G553:H553"/>
    <mergeCell ref="I619:L619"/>
    <mergeCell ref="I620:L620"/>
    <mergeCell ref="I621:L621"/>
    <mergeCell ref="B607:D607"/>
    <mergeCell ref="L635:M635"/>
    <mergeCell ref="O635:P635"/>
    <mergeCell ref="O631:P631"/>
    <mergeCell ref="C633:D633"/>
    <mergeCell ref="H634:J634"/>
    <mergeCell ref="L634:M634"/>
    <mergeCell ref="L633:M633"/>
    <mergeCell ref="F619:G619"/>
    <mergeCell ref="C630:D630"/>
    <mergeCell ref="G545:H545"/>
    <mergeCell ref="B532:D532"/>
    <mergeCell ref="B534:D534"/>
    <mergeCell ref="E540:F540"/>
    <mergeCell ref="I541:J541"/>
    <mergeCell ref="G540:H540"/>
    <mergeCell ref="I537:J537"/>
    <mergeCell ref="G539:H539"/>
    <mergeCell ref="O633:P633"/>
    <mergeCell ref="I566:J566"/>
    <mergeCell ref="C632:D632"/>
    <mergeCell ref="M618:P618"/>
    <mergeCell ref="I618:L618"/>
    <mergeCell ref="M619:P619"/>
    <mergeCell ref="B612:P612"/>
    <mergeCell ref="H631:J631"/>
    <mergeCell ref="I622:L622"/>
    <mergeCell ref="M621:P621"/>
    <mergeCell ref="M620:P620"/>
    <mergeCell ref="O629:P629"/>
    <mergeCell ref="B586:O586"/>
    <mergeCell ref="C629:D629"/>
    <mergeCell ref="O630:P630"/>
    <mergeCell ref="I422:O422"/>
    <mergeCell ref="I423:O423"/>
    <mergeCell ref="B427:F427"/>
    <mergeCell ref="B426:F426"/>
    <mergeCell ref="B295:D295"/>
    <mergeCell ref="I302:J302"/>
    <mergeCell ref="I301:J301"/>
    <mergeCell ref="K317:O317"/>
    <mergeCell ref="C416:O416"/>
    <mergeCell ref="H426:O426"/>
    <mergeCell ref="B423:F423"/>
    <mergeCell ref="G432:N432"/>
    <mergeCell ref="C418:G418"/>
    <mergeCell ref="G400:H400"/>
    <mergeCell ref="M463:N463"/>
    <mergeCell ref="F469:K469"/>
    <mergeCell ref="F461:K461"/>
    <mergeCell ref="I347:J347"/>
    <mergeCell ref="I339:J339"/>
    <mergeCell ref="K339:L339"/>
    <mergeCell ref="G347:H347"/>
    <mergeCell ref="B314:O314"/>
    <mergeCell ref="G317:J317"/>
    <mergeCell ref="K318:O318"/>
    <mergeCell ref="G406:H406"/>
    <mergeCell ref="G407:O407"/>
    <mergeCell ref="M428:N428"/>
    <mergeCell ref="B443:P443"/>
    <mergeCell ref="G318:H318"/>
    <mergeCell ref="I318:J318"/>
    <mergeCell ref="E339:F339"/>
    <mergeCell ref="G319:H319"/>
    <mergeCell ref="C631:D631"/>
    <mergeCell ref="E596:F596"/>
    <mergeCell ref="E595:F595"/>
    <mergeCell ref="B577:F577"/>
    <mergeCell ref="F616:G616"/>
    <mergeCell ref="C615:D615"/>
    <mergeCell ref="F615:G615"/>
    <mergeCell ref="I615:L615"/>
    <mergeCell ref="C616:D616"/>
    <mergeCell ref="G604:H604"/>
    <mergeCell ref="E550:F550"/>
    <mergeCell ref="I597:J597"/>
    <mergeCell ref="B594:F594"/>
    <mergeCell ref="E608:F608"/>
    <mergeCell ref="I617:L617"/>
    <mergeCell ref="F618:G618"/>
    <mergeCell ref="B553:D553"/>
    <mergeCell ref="K562:O562"/>
    <mergeCell ref="B570:J570"/>
    <mergeCell ref="K564:O564"/>
    <mergeCell ref="B572:O572"/>
    <mergeCell ref="B571:O571"/>
    <mergeCell ref="E569:F569"/>
    <mergeCell ref="B614:P614"/>
    <mergeCell ref="B557:O557"/>
    <mergeCell ref="I552:J552"/>
    <mergeCell ref="P527:P554"/>
    <mergeCell ref="B578:O578"/>
    <mergeCell ref="K575:O575"/>
    <mergeCell ref="I595:J595"/>
    <mergeCell ref="E597:F597"/>
    <mergeCell ref="B583:N583"/>
    <mergeCell ref="G551:H551"/>
    <mergeCell ref="I548:J548"/>
    <mergeCell ref="I551:J551"/>
    <mergeCell ref="B573:D573"/>
    <mergeCell ref="K570:O570"/>
    <mergeCell ref="B591:O591"/>
    <mergeCell ref="B574:O574"/>
    <mergeCell ref="C579:O579"/>
    <mergeCell ref="B555:P555"/>
    <mergeCell ref="B558:O558"/>
    <mergeCell ref="G548:H548"/>
    <mergeCell ref="C566:D566"/>
    <mergeCell ref="B550:D550"/>
    <mergeCell ref="G564:H564"/>
    <mergeCell ref="E535:F535"/>
    <mergeCell ref="B299:D299"/>
    <mergeCell ref="B530:D530"/>
    <mergeCell ref="G552:H552"/>
    <mergeCell ref="C412:O412"/>
    <mergeCell ref="B417:O417"/>
    <mergeCell ref="B513:O513"/>
    <mergeCell ref="C520:E520"/>
    <mergeCell ref="F520:K520"/>
    <mergeCell ref="G528:H528"/>
    <mergeCell ref="B511:O511"/>
    <mergeCell ref="I530:J530"/>
    <mergeCell ref="C519:E519"/>
    <mergeCell ref="G348:H348"/>
    <mergeCell ref="I529:J529"/>
    <mergeCell ref="E528:F528"/>
    <mergeCell ref="N519:O519"/>
    <mergeCell ref="B535:D535"/>
    <mergeCell ref="E551:F551"/>
    <mergeCell ref="B313:O313"/>
    <mergeCell ref="B301:D301"/>
    <mergeCell ref="G299:H299"/>
    <mergeCell ref="M444:P444"/>
    <mergeCell ref="I546:J546"/>
    <mergeCell ref="E573:O573"/>
    <mergeCell ref="G544:H544"/>
    <mergeCell ref="G543:H543"/>
    <mergeCell ref="B533:D533"/>
    <mergeCell ref="E537:F537"/>
    <mergeCell ref="B536:D536"/>
    <mergeCell ref="C561:F561"/>
    <mergeCell ref="G561:J561"/>
    <mergeCell ref="C569:D569"/>
    <mergeCell ref="B559:O559"/>
    <mergeCell ref="E552:F552"/>
    <mergeCell ref="E401:F401"/>
    <mergeCell ref="E347:F347"/>
    <mergeCell ref="E341:F341"/>
    <mergeCell ref="G364:J364"/>
    <mergeCell ref="B356:O356"/>
    <mergeCell ref="B357:B359"/>
    <mergeCell ref="M348:N348"/>
    <mergeCell ref="I369:J369"/>
    <mergeCell ref="M349:N349"/>
    <mergeCell ref="N521:O521"/>
    <mergeCell ref="B551:D551"/>
    <mergeCell ref="B548:D548"/>
    <mergeCell ref="B515:O515"/>
    <mergeCell ref="L519:M519"/>
    <mergeCell ref="L522:M522"/>
    <mergeCell ref="E243:F243"/>
    <mergeCell ref="G243:H243"/>
    <mergeCell ref="I253:J253"/>
    <mergeCell ref="E263:F263"/>
    <mergeCell ref="B291:D291"/>
    <mergeCell ref="I269:J269"/>
    <mergeCell ref="M267:N267"/>
    <mergeCell ref="B275:O275"/>
    <mergeCell ref="G290:H290"/>
    <mergeCell ref="E298:F298"/>
    <mergeCell ref="G293:H293"/>
    <mergeCell ref="I293:J293"/>
    <mergeCell ref="E291:F291"/>
    <mergeCell ref="B298:D298"/>
    <mergeCell ref="I244:J244"/>
    <mergeCell ref="I298:J298"/>
    <mergeCell ref="K266:L266"/>
    <mergeCell ref="C266:D266"/>
    <mergeCell ref="M266:N266"/>
    <mergeCell ref="B287:N287"/>
    <mergeCell ref="M268:N268"/>
    <mergeCell ref="E267:F267"/>
    <mergeCell ref="E272:F272"/>
    <mergeCell ref="K274:L274"/>
    <mergeCell ref="K273:L273"/>
    <mergeCell ref="C282:D282"/>
    <mergeCell ref="I296:J296"/>
    <mergeCell ref="C277:G277"/>
    <mergeCell ref="I290:J290"/>
    <mergeCell ref="C246:D246"/>
    <mergeCell ref="G246:O246"/>
    <mergeCell ref="C244:D244"/>
    <mergeCell ref="G227:H227"/>
    <mergeCell ref="I265:J265"/>
    <mergeCell ref="F261:O261"/>
    <mergeCell ref="K265:L265"/>
    <mergeCell ref="B212:O212"/>
    <mergeCell ref="G264:H264"/>
    <mergeCell ref="E266:F266"/>
    <mergeCell ref="B63:D63"/>
    <mergeCell ref="G137:J137"/>
    <mergeCell ref="I151:J151"/>
    <mergeCell ref="I143:J143"/>
    <mergeCell ref="I147:J147"/>
    <mergeCell ref="E167:F167"/>
    <mergeCell ref="B152:D152"/>
    <mergeCell ref="B158:O158"/>
    <mergeCell ref="G114:H114"/>
    <mergeCell ref="E115:F115"/>
    <mergeCell ref="E112:F112"/>
    <mergeCell ref="C117:D117"/>
    <mergeCell ref="M117:N117"/>
    <mergeCell ref="B150:D150"/>
    <mergeCell ref="L125:O125"/>
    <mergeCell ref="E177:F177"/>
    <mergeCell ref="G177:H177"/>
    <mergeCell ref="I177:J177"/>
    <mergeCell ref="B156:P156"/>
    <mergeCell ref="B147:D147"/>
    <mergeCell ref="B139:D139"/>
    <mergeCell ref="E132:O132"/>
    <mergeCell ref="P160:P162"/>
    <mergeCell ref="B149:D149"/>
    <mergeCell ref="E152:F152"/>
    <mergeCell ref="P137:P153"/>
    <mergeCell ref="I172:J172"/>
    <mergeCell ref="I114:J114"/>
    <mergeCell ref="B137:F137"/>
    <mergeCell ref="B171:J171"/>
    <mergeCell ref="K171:N171"/>
    <mergeCell ref="B159:P159"/>
    <mergeCell ref="E65:F65"/>
    <mergeCell ref="I111:J111"/>
    <mergeCell ref="M111:N111"/>
    <mergeCell ref="K115:L115"/>
    <mergeCell ref="I115:J115"/>
    <mergeCell ref="M115:N115"/>
    <mergeCell ref="G95:H95"/>
    <mergeCell ref="G96:H96"/>
    <mergeCell ref="B69:D69"/>
    <mergeCell ref="E69:F69"/>
    <mergeCell ref="C125:G125"/>
    <mergeCell ref="E131:O131"/>
    <mergeCell ref="C111:D111"/>
    <mergeCell ref="C114:D114"/>
    <mergeCell ref="E93:F93"/>
    <mergeCell ref="M112:N112"/>
    <mergeCell ref="K92:O92"/>
    <mergeCell ref="G100:H100"/>
    <mergeCell ref="I68:J68"/>
    <mergeCell ref="I113:J113"/>
    <mergeCell ref="E76:F76"/>
    <mergeCell ref="G92:H92"/>
    <mergeCell ref="G91:H91"/>
    <mergeCell ref="B66:D66"/>
    <mergeCell ref="G120:H120"/>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H127:J127"/>
    <mergeCell ref="B135:N135"/>
    <mergeCell ref="C127:G127"/>
    <mergeCell ref="B134:N134"/>
    <mergeCell ref="E95:F95"/>
    <mergeCell ref="E91:F91"/>
    <mergeCell ref="I92:J92"/>
    <mergeCell ref="C93:D93"/>
    <mergeCell ref="B62:D62"/>
    <mergeCell ref="B146:D146"/>
    <mergeCell ref="B67:D67"/>
    <mergeCell ref="G61:H61"/>
    <mergeCell ref="B110:O110"/>
    <mergeCell ref="I146:J146"/>
    <mergeCell ref="P125:P128"/>
    <mergeCell ref="I62:J62"/>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F44:O44"/>
    <mergeCell ref="P84:P86"/>
    <mergeCell ref="I91:J91"/>
    <mergeCell ref="G75:H75"/>
    <mergeCell ref="K60:O64"/>
    <mergeCell ref="R54:R55"/>
    <mergeCell ref="R57:S58"/>
    <mergeCell ref="V60:X60"/>
    <mergeCell ref="C34:D34"/>
    <mergeCell ref="P81:P82"/>
    <mergeCell ref="E38:F38"/>
    <mergeCell ref="G38:H38"/>
    <mergeCell ref="H51:J51"/>
    <mergeCell ref="I121:J121"/>
    <mergeCell ref="E71:F71"/>
    <mergeCell ref="I77:J77"/>
    <mergeCell ref="I75:J75"/>
    <mergeCell ref="I63:J63"/>
    <mergeCell ref="G71:H71"/>
    <mergeCell ref="K73:O77"/>
    <mergeCell ref="I73:J73"/>
    <mergeCell ref="I61:J61"/>
    <mergeCell ref="B65:D65"/>
    <mergeCell ref="E68:F68"/>
    <mergeCell ref="F106:O106"/>
    <mergeCell ref="B98:J98"/>
    <mergeCell ref="E97:F97"/>
    <mergeCell ref="G101:O101"/>
    <mergeCell ref="B68:D68"/>
    <mergeCell ref="E61:F61"/>
    <mergeCell ref="G117:H117"/>
    <mergeCell ref="E102:I103"/>
    <mergeCell ref="M114:N114"/>
    <mergeCell ref="K114:L114"/>
    <mergeCell ref="E114:F114"/>
    <mergeCell ref="K120:L120"/>
    <mergeCell ref="C121:D121"/>
    <mergeCell ref="C112:D112"/>
    <mergeCell ref="M120:N120"/>
    <mergeCell ref="E120:F120"/>
    <mergeCell ref="E63:F63"/>
    <mergeCell ref="G62:H62"/>
    <mergeCell ref="B77:D77"/>
    <mergeCell ref="K94:N94"/>
    <mergeCell ref="B94:J94"/>
    <mergeCell ref="BR115:CA115"/>
    <mergeCell ref="AZ114:BG114"/>
    <mergeCell ref="BI114:BN114"/>
    <mergeCell ref="U88:U89"/>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E111:F111"/>
    <mergeCell ref="K117:L117"/>
    <mergeCell ref="C120:D120"/>
    <mergeCell ref="C115:D115"/>
    <mergeCell ref="G99:H99"/>
    <mergeCell ref="AU114:AX114"/>
    <mergeCell ref="AA89:AD91"/>
    <mergeCell ref="T88:T89"/>
    <mergeCell ref="V90:Y90"/>
    <mergeCell ref="B87:O87"/>
    <mergeCell ref="G90:H90"/>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K100:O100"/>
    <mergeCell ref="K99:O99"/>
    <mergeCell ref="E100:F100"/>
    <mergeCell ref="C92:D92"/>
    <mergeCell ref="B130:B132"/>
    <mergeCell ref="E130:O130"/>
    <mergeCell ref="M116:N116"/>
    <mergeCell ref="C122:D122"/>
    <mergeCell ref="B123:O123"/>
    <mergeCell ref="E96:F96"/>
    <mergeCell ref="I96:J96"/>
    <mergeCell ref="C95:D95"/>
    <mergeCell ref="C96:D96"/>
    <mergeCell ref="K95:O95"/>
    <mergeCell ref="E116:F116"/>
    <mergeCell ref="M196:N196"/>
    <mergeCell ref="K198:L198"/>
    <mergeCell ref="C103:D103"/>
    <mergeCell ref="I196:J196"/>
    <mergeCell ref="E192:F192"/>
    <mergeCell ref="E218:F218"/>
    <mergeCell ref="E196:F196"/>
    <mergeCell ref="G196:H196"/>
    <mergeCell ref="B216:D216"/>
    <mergeCell ref="G216:H216"/>
    <mergeCell ref="H204:J204"/>
    <mergeCell ref="B205:O205"/>
    <mergeCell ref="B153:O153"/>
    <mergeCell ref="M121:N121"/>
    <mergeCell ref="I112:J112"/>
    <mergeCell ref="G113:H113"/>
    <mergeCell ref="I117:J117"/>
    <mergeCell ref="M122:N122"/>
    <mergeCell ref="B106:C109"/>
    <mergeCell ref="E197:F197"/>
    <mergeCell ref="G197:H197"/>
    <mergeCell ref="C198:D198"/>
    <mergeCell ref="B144:D144"/>
    <mergeCell ref="H125:J125"/>
    <mergeCell ref="H126:J126"/>
    <mergeCell ref="G115:H115"/>
    <mergeCell ref="G116:H116"/>
    <mergeCell ref="E117:F117"/>
    <mergeCell ref="G112:H112"/>
    <mergeCell ref="G122:H122"/>
    <mergeCell ref="K122:L122"/>
    <mergeCell ref="C132:D132"/>
    <mergeCell ref="C644:H644"/>
    <mergeCell ref="C645:H645"/>
    <mergeCell ref="B650:B653"/>
    <mergeCell ref="R286:S287"/>
    <mergeCell ref="AM403:AM406"/>
    <mergeCell ref="AA341:AF341"/>
    <mergeCell ref="V524:AD524"/>
    <mergeCell ref="R431:R432"/>
    <mergeCell ref="R434:S439"/>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s>
  <phoneticPr fontId="0" type="noConversion"/>
  <conditionalFormatting sqref="G534:J534">
    <cfRule type="cellIs" dxfId="23" priority="146" stopIfTrue="1" operator="lessThan">
      <formula>$AA$534</formula>
    </cfRule>
  </conditionalFormatting>
  <conditionalFormatting sqref="G535:J535">
    <cfRule type="cellIs" dxfId="22" priority="147" stopIfTrue="1" operator="lessThan">
      <formula>$AA$535</formula>
    </cfRule>
  </conditionalFormatting>
  <conditionalFormatting sqref="G596:J596">
    <cfRule type="cellIs" dxfId="21" priority="5" stopIfTrue="1" operator="lessThan">
      <formula>$AA$597</formula>
    </cfRule>
  </conditionalFormatting>
  <dataValidations xWindow="761" yWindow="310" count="108">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$B$654:$B$735</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83"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$B$654:$B$715</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84"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5:N435" xr:uid="{1DBAC254-3662-492B-93E9-CEC1DC45126A}">
      <formula1>$T$438:$X$438</formula1>
    </dataValidation>
    <dataValidation type="list" allowBlank="1" showInputMessage="1" showErrorMessage="1" promptTitle="Vascular dysfunction" prompt="Affecting wrist/forearm -- select from classes 1-5. See OAR 436-035-0110." sqref="L439:N439" xr:uid="{9D43983F-8909-4711-9910-B86D2D584E31}">
      <formula1>$T$438:$X$438</formula1>
    </dataValidation>
    <dataValidation type="list" allowBlank="1" showInputMessage="1" showErrorMessage="1" promptTitle="Dermatological condition" prompt="Affecting hand -- select from classes 1-5. See OAR 436-035-0110." sqref="L434:N434" xr:uid="{3311052D-0E3D-450D-BF0A-B2FF7C715C49}">
      <formula1>$T$434:$X$434</formula1>
    </dataValidation>
    <dataValidation type="list" allowBlank="1" showInputMessage="1" showErrorMessage="1" promptTitle="Vascular dysfunction" prompt="Affecting hand -- select from classes 1-5. See OAR 436-035-0110." sqref="L438:N438" xr:uid="{EE48F8BD-2C71-4DFE-BD2A-35FC85F787E8}">
      <formula1>$T$438:$X$438</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75A6EB73-FFB9-4FD4-BA01-5724A1114F7D}">
      <formula1>AK448</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4 A588" xr:uid="{389F74C9-9A6E-4F95-A1A2-48D721A43274}">
      <formula1>W514</formula1>
    </dataValidation>
    <dataValidation type="decimal" operator="equal" allowBlank="1" showInputMessage="1" showErrorMessage="1" promptTitle="Amputation" prompt="Show the level of loss or select &quot;NA.&quot;" sqref="A558" xr:uid="{397F35EC-CEC8-42F1-A2C3-679431F94FC5}">
      <formula1>W558</formula1>
    </dataValidation>
    <dataValidation type="decimal" operator="equal" allowBlank="1" showInputMessage="1" showErrorMessage="1" promptTitle="Arm surgery" prompt="Show the type of surgery performed, if any." sqref="A579" xr:uid="{14680D87-234A-4396-A1BA-21976829F677}">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$B$654:$B$670</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$B$654:$B$715</formula1>
    </dataValidation>
    <dataValidation type="list" showInputMessage="1" showErrorMessage="1" promptTitle="Wrist" prompt="Enter degrees of flexion ankylosis.  If joint was not affected by the injury, select &quot;NA&quot; or leave blank." sqref="C403:D403" xr:uid="{AFA4D0C0-F032-49B9-AF11-248E64545D37}">
      <formula1>$B$654:$B$725</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$B$654:$B$675</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$B$654:$B$685</formula1>
    </dataValidation>
    <dataValidation type="list" showInputMessage="1" showErrorMessage="1" promptTitle="Elbow" prompt="Enter retained degrees of motion, flexion. If joint was not affected by the injury, select &quot;NA&quot; or leave blank." sqref="C562:D562" xr:uid="{CA140996-875D-46F0-9D83-2271C8AC4C80}">
      <formula1>$B$654:$B$805</formula1>
    </dataValidation>
    <dataValidation type="list" showInputMessage="1" showErrorMessage="1" promptTitle="Arm" prompt="Supination; enter retained degrees of motion. If joint was not affected by the injury, select &quot;NA&quot; or leave blank." sqref="C566:D566" xr:uid="{B588115B-1C1D-4B90-A6DE-CA9C669BAEA9}">
      <formula1>$B$654:$B$735</formula1>
    </dataValidation>
    <dataValidation allowBlank="1" showInputMessage="1" showErrorMessage="1" promptTitle="End of worksheet" prompt="Press TAB to return to top of sheet." sqref="P638" xr:uid="{37950831-C894-4EB4-850D-52E552D3559C}"/>
    <dataValidation type="decimal" allowBlank="1" showInputMessage="1" showErrorMessage="1" promptTitle="Apportionment, if any" prompt="Enter percentage of impairment caused by the injury or illness. See OAR 436-035-0013." sqref="G596:H596 G534:H539 G549:H552 G76:H77 C180 G151:H152 C256 G228:H229 C331 G303:H304 G368:H374 G378:H379 C27 G67:H73 C103 G141:H147 G218:H224 G293:H299 G603:H607" xr:uid="{792F9FDA-2BEE-4E12-85CA-0DF55F58D78C}">
      <formula1>$B$644</formula1>
      <formula2>$B$645</formula2>
    </dataValidation>
    <dataValidation type="list" allowBlank="1" showInputMessage="1" showErrorMessage="1" promptTitle="Carpometacarpal arthroplasty" prompt="Impairment equals 1/2 the lowest ankylosis value for the carpometacarpal joint of the thumb." sqref="G432" xr:uid="{A0B90427-6422-4319-B085-58B7D4F58600}">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77" xr:uid="{ACA72AFA-3625-446E-907E-A07C9BB7B855}">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Carpal bone removal" prompt="Removal of any portion of a carpal bone, without replacement, 5% maximum for each carpal bone" sqref="G429" xr:uid="{CBCDF127-8FCC-4CEA-8BC2-DFD597AB0322}">
      <formula1>$T$428:$AA$428</formula1>
    </dataValidation>
    <dataValidation type="list" allowBlank="1" showInputMessage="1" showErrorMessage="1" promptTitle="Prosthetic carpal bone" prompt="5% per replacement" sqref="G427" xr:uid="{1AAAD0F3-8417-43BA-BE20-5FB6D15B4626}">
      <formula1>$T$427:$AA$427</formula1>
    </dataValidation>
    <dataValidation type="list" allowBlank="1" showInputMessage="1" showErrorMessage="1" promptTitle="Distal ulnar" prompt="Resection with prosthetic replacement = 5%; resection without replacement = 10% impairment." sqref="G431:N431" xr:uid="{4BB712FF-4035-4943-ACCB-5A7003BD5CFF}">
      <formula1>$S$431:$T$431</formula1>
    </dataValidation>
    <dataValidation type="list" allowBlank="1" showInputMessage="1" showErrorMessage="1" promptTitle="Strength grade" prompt="Record strength using the 0 to 5  grading system as described in OAR 436-035-0011." sqref="M446:N450 M454:N457 M479:N491 M467:N476 M460:N464 M495:N505" xr:uid="{A6A4C2FF-2E71-4D68-890B-2109BDE5E51C}">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AA4580F8-B555-4CD2-B734-36ACEF5454FA}">
      <formula1>$S$443:$AH$443</formula1>
    </dataValidation>
    <dataValidation type="list" allowBlank="1" showInputMessage="1" showErrorMessage="1" promptTitle="Lateral deviation" prompt="At or above elbow, mild, moderate, or severe" sqref="K575:O575" xr:uid="{5D75649E-FD84-49AE-B2BD-8D7B657B94D6}">
      <formula1>$S$575:$U$575</formula1>
    </dataValidation>
    <dataValidation type="list" allowBlank="1" showInputMessage="1" showErrorMessage="1" promptTitle="Arm length discrepancy" prompt="Discrepancy in inches involving the injured arm and resulting from the injury/surgery" sqref="K573:O573" xr:uid="{0B9874F1-FD06-4D9B-AE96-90083F41447D}">
      <formula1>Z573:AE573</formula1>
    </dataValidation>
    <dataValidation type="list" allowBlank="1" showInputMessage="1" showErrorMessage="1" promptTitle="Arm length discrepancy" prompt="Discrepancy in inches involving the injured arm and resulting from the injury/surgery" sqref="E573" xr:uid="{E9B08A2A-326A-4A86-80E0-4ADB89A08348}">
      <formula1>S573:W573</formula1>
    </dataValidation>
    <dataValidation type="list" allowBlank="1" showInputMessage="1" showErrorMessage="1" promptTitle="Arm length discrepancy" prompt="Discrepancy in inches involving the injured arm and resulting from the injury/surgery" sqref="F573:J573" xr:uid="{EBBB9E4D-6D48-45C8-AE9F-C576FF7EFD19}">
      <formula1>S573:Z573</formula1>
    </dataValidation>
    <dataValidation type="list" allowBlank="1" showInputMessage="1" showErrorMessage="1" promptTitle="Motor loss, arm" prompt="Select the statement that best describes the severity of motor loss." sqref="B592:O592" xr:uid="{342EE870-6627-491B-85FA-A09AD58EC189}">
      <formula1>$R$592:$U$592</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$B$654:$B$755</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$B$654:$B$745</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$B$654:$B$685</formula1>
    </dataValidation>
    <dataValidation type="list" showInputMessage="1" showErrorMessage="1" promptTitle="Thumb" prompt="Enter retained degrees of motion or &quot;NA&quot; if contralateral joint has a history of injury or disease." sqref="G19:H20" xr:uid="{F0C748D3-1FEF-4B6A-9C44-6B65F1072ADC}">
      <formula1>$B$654:$B$735</formula1>
    </dataValidation>
    <dataValidation type="list" showInputMessage="1" showErrorMessage="1" promptTitle="Thumb" prompt="Enter retained degrees of motion or &quot;NA&quot; if contralateral joint has a history of injury or disease." sqref="G23:H24" xr:uid="{D00F8527-3B01-415A-B0F6-22F999F09296}">
      <formula1>$B$654:$B$715</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$B$654:$B$725</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$B$654:$B$755</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$B$654:$B$745</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$B$654:$B$725</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$B$654:$B$725</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$B$654:$B$735</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$B$654:$B$735</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$B$654:$B$715</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$B$654:$B$715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$B$654:$B$755</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$B$654:$B$755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$B$654:$B$745</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$B$654:$B$745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$B$654:$B$725</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$B$654:$B$755</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$B$654:$B$745</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$B$654:$B$755</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$B$654:$B$725</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$B$654:$B$755</formula1>
    </dataValidation>
    <dataValidation type="list" showInputMessage="1" showErrorMessage="1" promptTitle="Hand" prompt="Enter retained degrees of motion or &quot;NA&quot; if contralateral joint has a history of injury or disease." sqref="G394:H394" xr:uid="{2F8EC61B-6FD2-4C69-AC9C-D995B5DF0559}">
      <formula1>$B$654:$B$670</formula1>
    </dataValidation>
    <dataValidation type="list" showInputMessage="1" showErrorMessage="1" promptTitle="Hand" prompt="Enter retained degrees of motion or &quot;NA&quot; if contralateral joint has a history of injury or disease." sqref="G395:H395" xr:uid="{AE0B1B07-CD9C-4A37-9D62-4BF56797E0C7}">
      <formula1>$B$654:$B$685</formula1>
    </dataValidation>
    <dataValidation type="list" showInputMessage="1" showErrorMessage="1" promptTitle="Wrist" prompt="Enter retained degrees of motion or &quot;NA&quot; if contralateral joint has a history of injury or disease." sqref="G400:H400" xr:uid="{73C7F395-1963-4696-B774-CF237416C76D}">
      <formula1>$B$654:$B$715</formula1>
    </dataValidation>
    <dataValidation type="list" showInputMessage="1" showErrorMessage="1" promptTitle="Wrist" prompt="Enter retained degrees of motion or &quot;NA&quot; if contralateral joint has a history of injury or disease." sqref="G402:H402" xr:uid="{CF201FA5-5673-4352-8465-72D190A874DA}">
      <formula1>$B$654:$B$725</formula1>
    </dataValidation>
    <dataValidation type="list" showInputMessage="1" showErrorMessage="1" promptTitle="Wrist" prompt="Enter retained degrees of motion or &quot;NA&quot; if contralateral joint has a history of injury or disease." sqref="G404:H404" xr:uid="{7B755340-A87D-4491-8596-C8DFA90BDC53}">
      <formula1>$B$654:$B$675</formula1>
    </dataValidation>
    <dataValidation type="list" showInputMessage="1" showErrorMessage="1" promptTitle="Wrist" prompt="Enter retained degrees of motion or &quot;NA&quot; if contralateral joint has a history of injury or disease." sqref="G406:H406" xr:uid="{5C2E2D21-5C59-4D56-962D-8972A9A00BE4}">
      <formula1>$B$654:$B$685</formula1>
    </dataValidation>
    <dataValidation type="list" showInputMessage="1" showErrorMessage="1" promptTitle="Elbow" prompt="Enter retained degrees of motion or &quot;NA&quot; if contralateral joint has a history of injury or disease." sqref="G562:H562 G564:H564" xr:uid="{BE268365-62BB-475F-9CEC-E2A2C5635A05}">
      <formula1>$B$654:$B$805</formula1>
    </dataValidation>
    <dataValidation type="list" showInputMessage="1" showErrorMessage="1" promptTitle="Arm" prompt="Enter retained degrees of motion or &quot;NA&quot; if contralateral joint has a history of injury or disease." sqref="G566:H566 G568:H568" xr:uid="{3992157D-9027-4F2B-9A7A-4DDB068ABAEA}">
      <formula1>$B$654:$B$735</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$B$654:$B$685</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$B$654:$B$670</formula1>
    </dataValidation>
    <dataValidation type="list" showInputMessage="1" showErrorMessage="1" promptTitle="Wrist" prompt="Enter degrees of extension ankylosis. If joint was not affected by the injury, select &quot;NA&quot; or leave blank." sqref="C401:D401" xr:uid="{067FA9E3-03B8-4122-A5C8-BBCA23CE0C20}">
      <formula1>$B$654:$B$715</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$B$654:$B$725</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$B$654:$B$675</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$B$654:$B$685</formula1>
    </dataValidation>
    <dataValidation type="list" showInputMessage="1" showErrorMessage="1" promptTitle="Elbow" prompt="Enter degrees of flexion ankylosis. If joint was not affected by the injury, select &quot;NA&quot; or leave blank." sqref="C563:D563" xr:uid="{65676D41-FE67-4177-9694-A60D5D7DA3A9}">
      <formula1>$B$654:$B$805</formula1>
    </dataValidation>
    <dataValidation type="list" showInputMessage="1" showErrorMessage="1" promptTitle="Elbow" prompt="Enter retained degrees of motion, extension. If joint was not affected by the injury, select &quot;NA&quot; or leave blank." sqref="C564:D564" xr:uid="{D02FF24D-CD0C-46F3-9D53-2F4CEDF792A4}">
      <formula1>$B$654:$B$805</formula1>
    </dataValidation>
    <dataValidation type="list" showInputMessage="1" showErrorMessage="1" promptTitle="Elbow" prompt="Enter degrees of extension ankylosis. If joint was not affected by the injury, select &quot;NA&quot; or leave blank." sqref="C565:D565" xr:uid="{7B08B99E-E292-41D4-A53A-524855BE7D22}">
      <formula1>$B$654:$B$805</formula1>
    </dataValidation>
    <dataValidation type="list" showInputMessage="1" showErrorMessage="1" promptTitle="Arm" prompt="Supination; enter degrees of supination ankylosis. If joint was not affected by the injury, select &quot;NA&quot; or leave blank." sqref="C567:D567" xr:uid="{F97085A5-C50D-4B37-A2F1-1A233F5BE4A8}">
      <formula1>$B$654:$B$735</formula1>
    </dataValidation>
    <dataValidation type="list" showInputMessage="1" showErrorMessage="1" promptTitle="Arm" prompt="Pronation; enter retained degrees of motion. If joint was not affected by the injury, select &quot;NA&quot; or leave blank." sqref="C568:D568" xr:uid="{7359A360-56E9-4846-A0DE-0E3A230E12B8}">
      <formula1>$B$654:$B$735</formula1>
    </dataValidation>
    <dataValidation type="list" showInputMessage="1" showErrorMessage="1" promptTitle="Arm" prompt="Pronation; enter degrees of pronation ankylosis. If joint was not affected by the injury, select &quot;NA&quot; or leave blank." sqref="C569:D569" xr:uid="{EB6274D7-E6CA-4AD4-9995-EBD8B82C268A}">
      <formula1>$B$654:$B$735</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38:F439" location="Rules!A80" display="Vascular dysfunction; or neurological dysfunction resulting in cold intolerance:" xr:uid="{00000000-0004-0000-0400-000009000000}"/>
    <hyperlink ref="B583:N583" location="Rules!A57" display="Dermatological conditions of the thumb, including burns" xr:uid="{00000000-0004-0000-0400-00000A000000}"/>
    <hyperlink ref="B584:N584" location="Rules!A80" display="Vascular dysfunction - thumb; or neurological dysfunction resulting in cold intolerance " xr:uid="{00000000-0004-0000-0400-00000B000000}"/>
    <hyperlink ref="M444:P444"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56" location="'Upper Extremity-Right'!A429" display="Arm strength" xr:uid="{00000000-0004-0000-0400-000015000000}"/>
    <hyperlink ref="B638" location="'Upper Extremity-Right'!A1" display="Return to top of sheet" xr:uid="{00000000-0004-0000-0400-000016000000}"/>
    <hyperlink ref="J638:N638" location="'PPD DOI on or after 2005'!A1" display="'PPD DOI on or after 2005'!A1" xr:uid="{00000000-0004-0000-0400-000017000000}"/>
    <hyperlink ref="C638:I638"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4"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1" max="16383" man="1"/>
    <brk id="493" max="16383" man="1"/>
    <brk id="525" max="16383" man="1"/>
    <brk id="554" max="16383" man="1"/>
    <brk id="592" max="16383" man="1"/>
    <brk id="610" max="16383" man="1"/>
  </rowBreaks>
  <ignoredErrors>
    <ignoredError sqref="V139 V366 AC446:AC447 AE446:AE447 H428 K428 M428 O428" formula="1"/>
    <ignoredError sqref="R596"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444</xdr:row>
                    <xdr:rowOff>184150</xdr:rowOff>
                  </from>
                  <to>
                    <xdr:col>5</xdr:col>
                    <xdr:colOff>107950</xdr:colOff>
                    <xdr:row>446</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445</xdr:row>
                    <xdr:rowOff>171450</xdr:rowOff>
                  </from>
                  <to>
                    <xdr:col>5</xdr:col>
                    <xdr:colOff>107950</xdr:colOff>
                    <xdr:row>447</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446</xdr:row>
                    <xdr:rowOff>165100</xdr:rowOff>
                  </from>
                  <to>
                    <xdr:col>5</xdr:col>
                    <xdr:colOff>107950</xdr:colOff>
                    <xdr:row>448</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447</xdr:row>
                    <xdr:rowOff>152400</xdr:rowOff>
                  </from>
                  <to>
                    <xdr:col>5</xdr:col>
                    <xdr:colOff>107950</xdr:colOff>
                    <xdr:row>448</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448</xdr:row>
                    <xdr:rowOff>165100</xdr:rowOff>
                  </from>
                  <to>
                    <xdr:col>5</xdr:col>
                    <xdr:colOff>107950</xdr:colOff>
                    <xdr:row>450</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452</xdr:row>
                    <xdr:rowOff>190500</xdr:rowOff>
                  </from>
                  <to>
                    <xdr:col>5</xdr:col>
                    <xdr:colOff>107950</xdr:colOff>
                    <xdr:row>454</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453</xdr:row>
                    <xdr:rowOff>336550</xdr:rowOff>
                  </from>
                  <to>
                    <xdr:col>5</xdr:col>
                    <xdr:colOff>107950</xdr:colOff>
                    <xdr:row>455</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454</xdr:row>
                    <xdr:rowOff>171450</xdr:rowOff>
                  </from>
                  <to>
                    <xdr:col>5</xdr:col>
                    <xdr:colOff>107950</xdr:colOff>
                    <xdr:row>456</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455</xdr:row>
                    <xdr:rowOff>165100</xdr:rowOff>
                  </from>
                  <to>
                    <xdr:col>5</xdr:col>
                    <xdr:colOff>107950</xdr:colOff>
                    <xdr:row>457</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459</xdr:row>
                    <xdr:rowOff>31750</xdr:rowOff>
                  </from>
                  <to>
                    <xdr:col>5</xdr:col>
                    <xdr:colOff>107950</xdr:colOff>
                    <xdr:row>460</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460</xdr:row>
                    <xdr:rowOff>19050</xdr:rowOff>
                  </from>
                  <to>
                    <xdr:col>5</xdr:col>
                    <xdr:colOff>107950</xdr:colOff>
                    <xdr:row>461</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461</xdr:row>
                    <xdr:rowOff>19050</xdr:rowOff>
                  </from>
                  <to>
                    <xdr:col>5</xdr:col>
                    <xdr:colOff>107950</xdr:colOff>
                    <xdr:row>462</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462</xdr:row>
                    <xdr:rowOff>19050</xdr:rowOff>
                  </from>
                  <to>
                    <xdr:col>5</xdr:col>
                    <xdr:colOff>107950</xdr:colOff>
                    <xdr:row>463</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463</xdr:row>
                    <xdr:rowOff>19050</xdr:rowOff>
                  </from>
                  <to>
                    <xdr:col>5</xdr:col>
                    <xdr:colOff>107950</xdr:colOff>
                    <xdr:row>464</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473</xdr:row>
                    <xdr:rowOff>190500</xdr:rowOff>
                  </from>
                  <to>
                    <xdr:col>5</xdr:col>
                    <xdr:colOff>107950</xdr:colOff>
                    <xdr:row>475</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474</xdr:row>
                    <xdr:rowOff>184150</xdr:rowOff>
                  </from>
                  <to>
                    <xdr:col>5</xdr:col>
                    <xdr:colOff>107950</xdr:colOff>
                    <xdr:row>476</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489</xdr:row>
                    <xdr:rowOff>190500</xdr:rowOff>
                  </from>
                  <to>
                    <xdr:col>5</xdr:col>
                    <xdr:colOff>107950</xdr:colOff>
                    <xdr:row>491</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465</xdr:row>
                    <xdr:rowOff>152400</xdr:rowOff>
                  </from>
                  <to>
                    <xdr:col>5</xdr:col>
                    <xdr:colOff>107950</xdr:colOff>
                    <xdr:row>467</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488</xdr:row>
                    <xdr:rowOff>171450</xdr:rowOff>
                  </from>
                  <to>
                    <xdr:col>5</xdr:col>
                    <xdr:colOff>107950</xdr:colOff>
                    <xdr:row>490</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473</xdr:row>
                    <xdr:rowOff>31750</xdr:rowOff>
                  </from>
                  <to>
                    <xdr:col>5</xdr:col>
                    <xdr:colOff>107950</xdr:colOff>
                    <xdr:row>474</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459</xdr:row>
                    <xdr:rowOff>38100</xdr:rowOff>
                  </from>
                  <to>
                    <xdr:col>3</xdr:col>
                    <xdr:colOff>260350</xdr:colOff>
                    <xdr:row>464</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460</xdr:row>
                    <xdr:rowOff>50800</xdr:rowOff>
                  </from>
                  <to>
                    <xdr:col>3</xdr:col>
                    <xdr:colOff>241300</xdr:colOff>
                    <xdr:row>461</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461</xdr:row>
                    <xdr:rowOff>38100</xdr:rowOff>
                  </from>
                  <to>
                    <xdr:col>3</xdr:col>
                    <xdr:colOff>241300</xdr:colOff>
                    <xdr:row>462</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462</xdr:row>
                    <xdr:rowOff>165100</xdr:rowOff>
                  </from>
                  <to>
                    <xdr:col>3</xdr:col>
                    <xdr:colOff>241300</xdr:colOff>
                    <xdr:row>463</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467</xdr:row>
                    <xdr:rowOff>171450</xdr:rowOff>
                  </from>
                  <to>
                    <xdr:col>5</xdr:col>
                    <xdr:colOff>107950</xdr:colOff>
                    <xdr:row>469</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468</xdr:row>
                    <xdr:rowOff>171450</xdr:rowOff>
                  </from>
                  <to>
                    <xdr:col>5</xdr:col>
                    <xdr:colOff>107950</xdr:colOff>
                    <xdr:row>470</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469</xdr:row>
                    <xdr:rowOff>171450</xdr:rowOff>
                  </from>
                  <to>
                    <xdr:col>5</xdr:col>
                    <xdr:colOff>107950</xdr:colOff>
                    <xdr:row>471</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470</xdr:row>
                    <xdr:rowOff>165100</xdr:rowOff>
                  </from>
                  <to>
                    <xdr:col>5</xdr:col>
                    <xdr:colOff>107950</xdr:colOff>
                    <xdr:row>472</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477</xdr:row>
                    <xdr:rowOff>152400</xdr:rowOff>
                  </from>
                  <to>
                    <xdr:col>5</xdr:col>
                    <xdr:colOff>107950</xdr:colOff>
                    <xdr:row>479</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478</xdr:row>
                    <xdr:rowOff>190500</xdr:rowOff>
                  </from>
                  <to>
                    <xdr:col>5</xdr:col>
                    <xdr:colOff>107950</xdr:colOff>
                    <xdr:row>480</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479</xdr:row>
                    <xdr:rowOff>171450</xdr:rowOff>
                  </from>
                  <to>
                    <xdr:col>5</xdr:col>
                    <xdr:colOff>107950</xdr:colOff>
                    <xdr:row>481</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480</xdr:row>
                    <xdr:rowOff>165100</xdr:rowOff>
                  </from>
                  <to>
                    <xdr:col>5</xdr:col>
                    <xdr:colOff>107950</xdr:colOff>
                    <xdr:row>482</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481</xdr:row>
                    <xdr:rowOff>171450</xdr:rowOff>
                  </from>
                  <to>
                    <xdr:col>5</xdr:col>
                    <xdr:colOff>107950</xdr:colOff>
                    <xdr:row>483</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482</xdr:row>
                    <xdr:rowOff>171450</xdr:rowOff>
                  </from>
                  <to>
                    <xdr:col>5</xdr:col>
                    <xdr:colOff>107950</xdr:colOff>
                    <xdr:row>484</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484</xdr:row>
                    <xdr:rowOff>190500</xdr:rowOff>
                  </from>
                  <to>
                    <xdr:col>5</xdr:col>
                    <xdr:colOff>107950</xdr:colOff>
                    <xdr:row>486</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486</xdr:row>
                    <xdr:rowOff>184150</xdr:rowOff>
                  </from>
                  <to>
                    <xdr:col>5</xdr:col>
                    <xdr:colOff>107950</xdr:colOff>
                    <xdr:row>488</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494</xdr:row>
                    <xdr:rowOff>12700</xdr:rowOff>
                  </from>
                  <to>
                    <xdr:col>5</xdr:col>
                    <xdr:colOff>107950</xdr:colOff>
                    <xdr:row>495</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495</xdr:row>
                    <xdr:rowOff>12700</xdr:rowOff>
                  </from>
                  <to>
                    <xdr:col>5</xdr:col>
                    <xdr:colOff>107950</xdr:colOff>
                    <xdr:row>496</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495</xdr:row>
                    <xdr:rowOff>146050</xdr:rowOff>
                  </from>
                  <to>
                    <xdr:col>5</xdr:col>
                    <xdr:colOff>107950</xdr:colOff>
                    <xdr:row>497</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497</xdr:row>
                    <xdr:rowOff>12700</xdr:rowOff>
                  </from>
                  <to>
                    <xdr:col>5</xdr:col>
                    <xdr:colOff>107950</xdr:colOff>
                    <xdr:row>498</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500</xdr:row>
                    <xdr:rowOff>12700</xdr:rowOff>
                  </from>
                  <to>
                    <xdr:col>5</xdr:col>
                    <xdr:colOff>107950</xdr:colOff>
                    <xdr:row>501</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503</xdr:row>
                    <xdr:rowOff>146050</xdr:rowOff>
                  </from>
                  <to>
                    <xdr:col>5</xdr:col>
                    <xdr:colOff>107950</xdr:colOff>
                    <xdr:row>505</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513</xdr:row>
                    <xdr:rowOff>12700</xdr:rowOff>
                  </from>
                  <to>
                    <xdr:col>15</xdr:col>
                    <xdr:colOff>12700</xdr:colOff>
                    <xdr:row>514</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513</xdr:row>
                    <xdr:rowOff>69850</xdr:rowOff>
                  </from>
                  <to>
                    <xdr:col>13</xdr:col>
                    <xdr:colOff>69850</xdr:colOff>
                    <xdr:row>514</xdr:row>
                    <xdr:rowOff>38100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513</xdr:row>
                    <xdr:rowOff>69850</xdr:rowOff>
                  </from>
                  <to>
                    <xdr:col>14</xdr:col>
                    <xdr:colOff>342900</xdr:colOff>
                    <xdr:row>514</xdr:row>
                    <xdr:rowOff>38100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557</xdr:row>
                    <xdr:rowOff>19050</xdr:rowOff>
                  </from>
                  <to>
                    <xdr:col>15</xdr:col>
                    <xdr:colOff>19050</xdr:colOff>
                    <xdr:row>558</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557</xdr:row>
                    <xdr:rowOff>31750</xdr:rowOff>
                  </from>
                  <to>
                    <xdr:col>1</xdr:col>
                    <xdr:colOff>628650</xdr:colOff>
                    <xdr:row>558</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557</xdr:row>
                    <xdr:rowOff>31750</xdr:rowOff>
                  </from>
                  <to>
                    <xdr:col>15</xdr:col>
                    <xdr:colOff>0</xdr:colOff>
                    <xdr:row>558</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576</xdr:row>
                    <xdr:rowOff>19050</xdr:rowOff>
                  </from>
                  <to>
                    <xdr:col>8</xdr:col>
                    <xdr:colOff>69850</xdr:colOff>
                    <xdr:row>577</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462</xdr:row>
                    <xdr:rowOff>12700</xdr:rowOff>
                  </from>
                  <to>
                    <xdr:col>1</xdr:col>
                    <xdr:colOff>819150</xdr:colOff>
                    <xdr:row>462</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466</xdr:row>
                    <xdr:rowOff>184150</xdr:rowOff>
                  </from>
                  <to>
                    <xdr:col>5</xdr:col>
                    <xdr:colOff>107950</xdr:colOff>
                    <xdr:row>468</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19050</xdr:colOff>
                    <xdr:row>411</xdr:row>
                    <xdr:rowOff>241300</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69850</xdr:colOff>
                    <xdr:row>411</xdr:row>
                    <xdr:rowOff>241300</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114300</xdr:colOff>
                    <xdr:row>411</xdr:row>
                    <xdr:rowOff>19050</xdr:rowOff>
                  </from>
                  <to>
                    <xdr:col>14</xdr:col>
                    <xdr:colOff>514350</xdr:colOff>
                    <xdr:row>411</xdr:row>
                    <xdr:rowOff>241300</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19050</xdr:colOff>
                    <xdr:row>412</xdr:row>
                    <xdr:rowOff>241300</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241300</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114300</xdr:colOff>
                    <xdr:row>412</xdr:row>
                    <xdr:rowOff>19050</xdr:rowOff>
                  </from>
                  <to>
                    <xdr:col>14</xdr:col>
                    <xdr:colOff>514350</xdr:colOff>
                    <xdr:row>412</xdr:row>
                    <xdr:rowOff>241300</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196850</xdr:colOff>
                    <xdr:row>414</xdr:row>
                    <xdr:rowOff>241300</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209550</xdr:colOff>
                    <xdr:row>414</xdr:row>
                    <xdr:rowOff>241300</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101600</xdr:colOff>
                    <xdr:row>414</xdr:row>
                    <xdr:rowOff>19050</xdr:rowOff>
                  </from>
                  <to>
                    <xdr:col>14</xdr:col>
                    <xdr:colOff>596900</xdr:colOff>
                    <xdr:row>414</xdr:row>
                    <xdr:rowOff>241300</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196850</xdr:colOff>
                    <xdr:row>415</xdr:row>
                    <xdr:rowOff>241300</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234950</xdr:colOff>
                    <xdr:row>415</xdr:row>
                    <xdr:rowOff>241300</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101600</xdr:colOff>
                    <xdr:row>415</xdr:row>
                    <xdr:rowOff>19050</xdr:rowOff>
                  </from>
                  <to>
                    <xdr:col>14</xdr:col>
                    <xdr:colOff>596900</xdr:colOff>
                    <xdr:row>415</xdr:row>
                    <xdr:rowOff>241300</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31750</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31750</xdr:colOff>
                    <xdr:row>480</xdr:row>
                    <xdr:rowOff>133350</xdr:rowOff>
                  </from>
                  <to>
                    <xdr:col>3</xdr:col>
                    <xdr:colOff>177800</xdr:colOff>
                    <xdr:row>482</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31750</xdr:colOff>
                    <xdr:row>482</xdr:row>
                    <xdr:rowOff>38100</xdr:rowOff>
                  </from>
                  <to>
                    <xdr:col>3</xdr:col>
                    <xdr:colOff>139700</xdr:colOff>
                    <xdr:row>483</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495</xdr:row>
                    <xdr:rowOff>12700</xdr:rowOff>
                  </from>
                  <to>
                    <xdr:col>3</xdr:col>
                    <xdr:colOff>222250</xdr:colOff>
                    <xdr:row>496</xdr:row>
                    <xdr:rowOff>69850</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496</xdr:row>
                    <xdr:rowOff>107950</xdr:rowOff>
                  </from>
                  <to>
                    <xdr:col>3</xdr:col>
                    <xdr:colOff>222250</xdr:colOff>
                    <xdr:row>497</xdr:row>
                    <xdr:rowOff>6350</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31750</xdr:colOff>
                    <xdr:row>497</xdr:row>
                    <xdr:rowOff>63500</xdr:rowOff>
                  </from>
                  <to>
                    <xdr:col>3</xdr:col>
                    <xdr:colOff>228600</xdr:colOff>
                    <xdr:row>498</xdr:row>
                    <xdr:rowOff>120650</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578</xdr:row>
                    <xdr:rowOff>127000</xdr:rowOff>
                  </from>
                  <to>
                    <xdr:col>3</xdr:col>
                    <xdr:colOff>196850</xdr:colOff>
                    <xdr:row>578</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184150</xdr:colOff>
                    <xdr:row>578</xdr:row>
                    <xdr:rowOff>0</xdr:rowOff>
                  </from>
                  <to>
                    <xdr:col>14</xdr:col>
                    <xdr:colOff>50800</xdr:colOff>
                    <xdr:row>578</xdr:row>
                    <xdr:rowOff>222250</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184150</xdr:colOff>
                    <xdr:row>578</xdr:row>
                    <xdr:rowOff>228600</xdr:rowOff>
                  </from>
                  <to>
                    <xdr:col>14</xdr:col>
                    <xdr:colOff>425450</xdr:colOff>
                    <xdr:row>578</xdr:row>
                    <xdr:rowOff>450850</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579</xdr:row>
                    <xdr:rowOff>12700</xdr:rowOff>
                  </from>
                  <to>
                    <xdr:col>3</xdr:col>
                    <xdr:colOff>247650</xdr:colOff>
                    <xdr:row>579</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184150</xdr:colOff>
                    <xdr:row>579</xdr:row>
                    <xdr:rowOff>19050</xdr:rowOff>
                  </from>
                  <to>
                    <xdr:col>14</xdr:col>
                    <xdr:colOff>279400</xdr:colOff>
                    <xdr:row>579</xdr:row>
                    <xdr:rowOff>241300</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580</xdr:row>
                    <xdr:rowOff>12700</xdr:rowOff>
                  </from>
                  <to>
                    <xdr:col>4</xdr:col>
                    <xdr:colOff>95250</xdr:colOff>
                    <xdr:row>580</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184150</xdr:colOff>
                    <xdr:row>580</xdr:row>
                    <xdr:rowOff>19050</xdr:rowOff>
                  </from>
                  <to>
                    <xdr:col>13</xdr:col>
                    <xdr:colOff>234950</xdr:colOff>
                    <xdr:row>580</xdr:row>
                    <xdr:rowOff>241300</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241300</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88900</xdr:colOff>
                    <xdr:row>587</xdr:row>
                    <xdr:rowOff>19050</xdr:rowOff>
                  </from>
                  <to>
                    <xdr:col>14</xdr:col>
                    <xdr:colOff>336550</xdr:colOff>
                    <xdr:row>587</xdr:row>
                    <xdr:rowOff>241300</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12700</xdr:colOff>
                    <xdr:row>384</xdr:row>
                    <xdr:rowOff>12700</xdr:rowOff>
                  </from>
                  <to>
                    <xdr:col>1</xdr:col>
                    <xdr:colOff>406400</xdr:colOff>
                    <xdr:row>384</xdr:row>
                    <xdr:rowOff>241300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12700</xdr:rowOff>
                  </from>
                  <to>
                    <xdr:col>5</xdr:col>
                    <xdr:colOff>285750</xdr:colOff>
                    <xdr:row>384</xdr:row>
                    <xdr:rowOff>241300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76200</xdr:colOff>
                    <xdr:row>384</xdr:row>
                    <xdr:rowOff>0</xdr:rowOff>
                  </from>
                  <to>
                    <xdr:col>14</xdr:col>
                    <xdr:colOff>584200</xdr:colOff>
                    <xdr:row>384</xdr:row>
                    <xdr:rowOff>234950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09"/>
  <sheetViews>
    <sheetView showGridLines="0" zoomScale="120" zoomScaleNormal="120" zoomScaleSheetLayoutView="40" workbookViewId="0"/>
  </sheetViews>
  <sheetFormatPr defaultColWidth="2.54296875" defaultRowHeight="13" x14ac:dyDescent="0.3"/>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1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8.2695312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3">
      <c r="B1" s="739" t="s">
        <v>1732</v>
      </c>
      <c r="C1" s="786"/>
      <c r="D1" s="747" t="str">
        <f>IF('Start here'!A6="","",'Start here'!A6)</f>
        <v/>
      </c>
      <c r="E1" s="751"/>
      <c r="F1" s="751"/>
      <c r="G1" s="751"/>
      <c r="H1" s="751"/>
      <c r="I1" s="751"/>
      <c r="J1" s="751"/>
      <c r="K1" s="752"/>
      <c r="L1" s="2"/>
      <c r="M1" s="747" t="str">
        <f>IF('Start here'!A7="","",'Start here'!A7)</f>
        <v/>
      </c>
      <c r="N1" s="751"/>
      <c r="O1" s="751"/>
      <c r="P1" s="752"/>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3">
      <c r="B2" s="792"/>
      <c r="C2" s="792"/>
      <c r="D2" s="792"/>
      <c r="E2" s="792"/>
      <c r="F2" s="792"/>
      <c r="G2" s="792"/>
      <c r="H2" s="792"/>
      <c r="I2" s="792"/>
      <c r="J2" s="792"/>
      <c r="K2" s="792"/>
      <c r="L2" s="792"/>
      <c r="M2" s="792"/>
      <c r="N2" s="792"/>
      <c r="O2" s="792"/>
      <c r="P2" s="792"/>
      <c r="R2" s="334">
        <f>'Start here'!A8</f>
        <v>0</v>
      </c>
      <c r="S2" s="50" t="str">
        <f>IF(R2&gt;=R1,"Go to PPD Worksheet","")</f>
        <v/>
      </c>
    </row>
    <row r="3" spans="2:170" ht="24" customHeight="1" x14ac:dyDescent="0.4">
      <c r="B3" s="793" t="s">
        <v>2018</v>
      </c>
      <c r="C3" s="794"/>
      <c r="D3" s="794"/>
      <c r="E3" s="794"/>
      <c r="F3" s="794"/>
      <c r="G3" s="794"/>
      <c r="H3" s="794"/>
      <c r="I3" s="794"/>
      <c r="J3" s="794"/>
      <c r="K3" s="794"/>
      <c r="L3" s="794"/>
      <c r="M3" s="794"/>
      <c r="N3" s="794"/>
      <c r="O3" s="794"/>
      <c r="P3" s="1117"/>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3">
      <c r="B4" s="180" t="s">
        <v>406</v>
      </c>
      <c r="C4" s="1076" t="s">
        <v>1573</v>
      </c>
      <c r="D4" s="1076"/>
      <c r="E4" s="1076" t="s">
        <v>147</v>
      </c>
      <c r="F4" s="1076"/>
      <c r="G4" s="1076" t="s">
        <v>1567</v>
      </c>
      <c r="H4" s="1076"/>
      <c r="I4" s="1076" t="s">
        <v>1569</v>
      </c>
      <c r="J4" s="1076"/>
      <c r="K4" s="1076" t="s">
        <v>1571</v>
      </c>
      <c r="L4" s="1076"/>
      <c r="M4" s="1076" t="s">
        <v>1413</v>
      </c>
      <c r="N4" s="1076"/>
      <c r="O4" s="369" t="s">
        <v>412</v>
      </c>
      <c r="P4" s="369"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3">
      <c r="B5" s="910" t="s">
        <v>942</v>
      </c>
      <c r="C5" s="911"/>
      <c r="D5" s="911"/>
      <c r="E5" s="911"/>
      <c r="F5" s="911"/>
      <c r="G5" s="911"/>
      <c r="H5" s="911"/>
      <c r="I5" s="911"/>
      <c r="J5" s="911"/>
      <c r="K5" s="911"/>
      <c r="L5" s="911"/>
      <c r="M5" s="911"/>
      <c r="N5" s="911"/>
      <c r="O5" s="911"/>
      <c r="P5" s="91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3">
      <c r="B6" s="791" t="s">
        <v>943</v>
      </c>
      <c r="C6" s="791"/>
      <c r="D6" s="791"/>
      <c r="E6" s="791"/>
      <c r="F6" s="791"/>
      <c r="G6" s="791"/>
      <c r="H6" s="791"/>
      <c r="I6" s="791"/>
      <c r="J6" s="791"/>
      <c r="K6" s="791"/>
      <c r="L6" s="791"/>
      <c r="M6" s="791"/>
      <c r="N6" s="791"/>
      <c r="O6" s="791"/>
      <c r="P6" s="992">
        <f>SUMIF(U6:Z6,B7,U7:Z7)</f>
        <v>0</v>
      </c>
      <c r="R6" s="10"/>
      <c r="S6" s="10"/>
      <c r="T6" s="77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row>
    <row r="7" spans="2:170" ht="15" customHeight="1" x14ac:dyDescent="0.3">
      <c r="B7" s="1014"/>
      <c r="C7" s="1014"/>
      <c r="D7" s="1014"/>
      <c r="E7" s="1014"/>
      <c r="F7" s="1014"/>
      <c r="G7" s="1014"/>
      <c r="H7" s="1014"/>
      <c r="I7" s="1014"/>
      <c r="J7" s="1014"/>
      <c r="K7" s="1014"/>
      <c r="L7" s="1014"/>
      <c r="M7" s="1014"/>
      <c r="N7" s="1014"/>
      <c r="O7" s="1014"/>
      <c r="P7" s="1082"/>
      <c r="R7" s="10"/>
      <c r="S7" s="10"/>
      <c r="T7" s="77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3">
      <c r="B8" s="981" t="str">
        <f>IF(AND(P6&gt;0.1,B10=""),"Enter specific level of amputation or shortening below.","")</f>
        <v/>
      </c>
      <c r="C8" s="981"/>
      <c r="D8" s="981"/>
      <c r="E8" s="981"/>
      <c r="F8" s="981"/>
      <c r="G8" s="981"/>
      <c r="H8" s="981"/>
      <c r="I8" s="981"/>
      <c r="J8" s="981"/>
      <c r="K8" s="981"/>
      <c r="L8" s="981"/>
      <c r="M8" s="981"/>
      <c r="N8" s="981"/>
      <c r="O8" s="981"/>
      <c r="P8" s="981"/>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3">
      <c r="B9" s="1072" t="s">
        <v>664</v>
      </c>
      <c r="C9" s="1072"/>
      <c r="D9" s="1072"/>
      <c r="E9" s="1072"/>
      <c r="F9" s="1072"/>
      <c r="G9" s="1072"/>
      <c r="H9" s="1072"/>
      <c r="I9" s="1072"/>
      <c r="J9" s="1072"/>
      <c r="K9" s="1072"/>
      <c r="L9" s="1072"/>
      <c r="M9" s="1072"/>
      <c r="N9" s="1072"/>
      <c r="O9" s="1072"/>
      <c r="P9" s="1074"/>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3">
      <c r="B10" s="1014"/>
      <c r="C10" s="1014"/>
      <c r="D10" s="1014"/>
      <c r="E10" s="1014"/>
      <c r="F10" s="1014"/>
      <c r="G10" s="1014"/>
      <c r="H10" s="1014"/>
      <c r="I10" s="1014"/>
      <c r="J10" s="1014"/>
      <c r="K10" s="1014"/>
      <c r="L10" s="1014"/>
      <c r="M10" s="1014"/>
      <c r="N10" s="1014"/>
      <c r="O10" s="1014"/>
      <c r="P10" s="1075"/>
      <c r="R10" s="10"/>
      <c r="S10" s="10"/>
      <c r="T10" s="925" t="s">
        <v>799</v>
      </c>
      <c r="U10" s="925"/>
      <c r="V10" s="925"/>
      <c r="W10" s="925"/>
      <c r="X10" s="925"/>
      <c r="Y10" s="925"/>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3">
      <c r="B11" s="764" t="s">
        <v>966</v>
      </c>
      <c r="C11" s="765"/>
      <c r="D11" s="765"/>
      <c r="E11" s="765"/>
      <c r="F11" s="765"/>
      <c r="G11" s="765"/>
      <c r="H11" s="765"/>
      <c r="I11" s="765"/>
      <c r="J11" s="765"/>
      <c r="K11" s="765"/>
      <c r="L11" s="765"/>
      <c r="M11" s="766"/>
      <c r="N11" s="806" t="s">
        <v>146</v>
      </c>
      <c r="O11" s="806"/>
      <c r="P11" s="248">
        <f>IF(P6=1,0,R84)</f>
        <v>0</v>
      </c>
      <c r="R11" s="10"/>
      <c r="S11" s="10"/>
      <c r="T11" s="50" t="s">
        <v>147</v>
      </c>
      <c r="U11" s="520">
        <f>SUMIF(V11:AD11,B10,V12:AD12)</f>
        <v>0</v>
      </c>
      <c r="V11" s="50" t="s">
        <v>523</v>
      </c>
      <c r="W11" s="50" t="s">
        <v>148</v>
      </c>
      <c r="X11" s="50" t="s">
        <v>1908</v>
      </c>
      <c r="Y11" s="50" t="s">
        <v>1560</v>
      </c>
      <c r="Z11" s="50" t="s">
        <v>1561</v>
      </c>
      <c r="AA11" s="50" t="s">
        <v>1562</v>
      </c>
      <c r="AB11" s="50" t="s">
        <v>1563</v>
      </c>
      <c r="AC11" s="50" t="s">
        <v>1564</v>
      </c>
      <c r="AD11" s="50" t="s">
        <v>1565</v>
      </c>
      <c r="AE11" s="10"/>
      <c r="AF11" s="10"/>
      <c r="AG11" s="10"/>
      <c r="AH11" s="10"/>
      <c r="AI11" s="10"/>
      <c r="AJ11" s="10"/>
      <c r="AK11" s="10"/>
      <c r="AL11" s="10"/>
      <c r="AM11" s="10"/>
      <c r="AN11" s="10"/>
      <c r="AO11" s="10"/>
      <c r="AP11" s="10"/>
      <c r="AQ11" s="10"/>
      <c r="AR11" s="10"/>
      <c r="AS11" s="10"/>
      <c r="AT11" s="10"/>
    </row>
    <row r="12" spans="2:170" ht="15" customHeight="1" x14ac:dyDescent="0.3">
      <c r="B12" s="833"/>
      <c r="C12" s="713"/>
      <c r="D12" s="713"/>
      <c r="E12" s="713"/>
      <c r="F12" s="713"/>
      <c r="G12" s="713"/>
      <c r="H12" s="713"/>
      <c r="I12" s="713"/>
      <c r="J12" s="713"/>
      <c r="K12" s="713"/>
      <c r="L12" s="713"/>
      <c r="M12" s="834"/>
      <c r="N12" s="806" t="s">
        <v>1566</v>
      </c>
      <c r="O12" s="806"/>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10"/>
      <c r="AF12" s="10"/>
      <c r="AG12" s="10"/>
      <c r="AH12" s="10"/>
      <c r="AI12" s="10"/>
      <c r="AJ12" s="10"/>
      <c r="AK12" s="10"/>
      <c r="AL12" s="10"/>
      <c r="AM12" s="10"/>
      <c r="AN12" s="10"/>
      <c r="AO12" s="10"/>
      <c r="AP12" s="10"/>
      <c r="AQ12" s="10"/>
      <c r="AR12" s="10"/>
      <c r="AS12" s="10"/>
      <c r="AT12" s="10"/>
    </row>
    <row r="13" spans="2:170" ht="15" customHeight="1" x14ac:dyDescent="0.3">
      <c r="B13" s="833"/>
      <c r="C13" s="713"/>
      <c r="D13" s="713"/>
      <c r="E13" s="713"/>
      <c r="F13" s="713"/>
      <c r="G13" s="713"/>
      <c r="H13" s="713"/>
      <c r="I13" s="713"/>
      <c r="J13" s="713"/>
      <c r="K13" s="713"/>
      <c r="L13" s="713"/>
      <c r="M13" s="834"/>
      <c r="N13" s="806" t="s">
        <v>1568</v>
      </c>
      <c r="O13" s="806"/>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10"/>
      <c r="AF13" s="10"/>
      <c r="AG13" s="10"/>
      <c r="AH13" s="10"/>
      <c r="AI13" s="10"/>
      <c r="AJ13" s="10"/>
      <c r="AK13" s="10"/>
      <c r="AL13" s="10"/>
      <c r="AM13" s="10"/>
      <c r="AN13" s="10"/>
      <c r="AO13" s="10"/>
      <c r="AP13" s="10"/>
      <c r="AQ13" s="10"/>
      <c r="AR13" s="10"/>
      <c r="AS13" s="10"/>
      <c r="AT13" s="10"/>
    </row>
    <row r="14" spans="2:170" ht="15" customHeight="1" x14ac:dyDescent="0.3">
      <c r="B14" s="767"/>
      <c r="C14" s="768"/>
      <c r="D14" s="768"/>
      <c r="E14" s="768"/>
      <c r="F14" s="768"/>
      <c r="G14" s="768"/>
      <c r="H14" s="768"/>
      <c r="I14" s="768"/>
      <c r="J14" s="768"/>
      <c r="K14" s="768"/>
      <c r="L14" s="768"/>
      <c r="M14" s="769"/>
      <c r="N14" s="806" t="s">
        <v>1570</v>
      </c>
      <c r="O14" s="806"/>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10"/>
      <c r="AF14" s="10"/>
      <c r="AG14" s="10"/>
      <c r="AH14" s="10"/>
      <c r="AI14" s="10"/>
      <c r="AJ14" s="10"/>
      <c r="AK14" s="10"/>
      <c r="AL14" s="10"/>
      <c r="AM14" s="10"/>
      <c r="AN14" s="10"/>
      <c r="AO14" s="10"/>
      <c r="AP14" s="10"/>
      <c r="AQ14" s="10"/>
      <c r="AR14" s="10"/>
      <c r="AS14" s="10"/>
      <c r="AT14" s="10"/>
    </row>
    <row r="15" spans="2:170" ht="12" customHeight="1" x14ac:dyDescent="0.3">
      <c r="B15" s="792"/>
      <c r="C15" s="792"/>
      <c r="D15" s="792"/>
      <c r="E15" s="792"/>
      <c r="F15" s="792"/>
      <c r="G15" s="792"/>
      <c r="H15" s="792"/>
      <c r="I15" s="792"/>
      <c r="J15" s="792"/>
      <c r="K15" s="792"/>
      <c r="L15" s="792"/>
      <c r="M15" s="792"/>
      <c r="N15" s="792"/>
      <c r="O15" s="792"/>
      <c r="P15" s="792"/>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3">
      <c r="B16" s="925" t="s">
        <v>1594</v>
      </c>
      <c r="C16" s="925"/>
      <c r="D16" s="925"/>
      <c r="E16" s="925"/>
      <c r="F16" s="925"/>
      <c r="G16" s="925"/>
      <c r="H16" s="925"/>
      <c r="I16" s="925"/>
      <c r="J16" s="925"/>
      <c r="K16" s="925"/>
      <c r="L16" s="925"/>
      <c r="M16" s="925"/>
      <c r="N16" s="925"/>
      <c r="O16" s="925"/>
      <c r="P16" s="872">
        <f>IF(R27=1,"ERROR",IF(AND(AC20&gt;0,AC20&lt;0.01),0.01,ROUND(AC20,2)))</f>
        <v>0</v>
      </c>
      <c r="R16" s="10"/>
      <c r="S16" s="10"/>
      <c r="T16" s="1156" t="s">
        <v>2213</v>
      </c>
      <c r="U16" s="1156"/>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3">
      <c r="B17" s="18"/>
      <c r="C17" s="925" t="s">
        <v>1595</v>
      </c>
      <c r="D17" s="925"/>
      <c r="E17" s="925"/>
      <c r="F17" s="925"/>
      <c r="G17" s="927" t="s">
        <v>1081</v>
      </c>
      <c r="H17" s="927"/>
      <c r="I17" s="927"/>
      <c r="J17" s="927"/>
      <c r="K17" s="925"/>
      <c r="L17" s="925"/>
      <c r="M17" s="925"/>
      <c r="N17" s="925"/>
      <c r="O17" s="925"/>
      <c r="P17" s="1010"/>
      <c r="R17" s="10"/>
      <c r="S17" s="50" t="s">
        <v>1572</v>
      </c>
      <c r="T17" s="259" t="s">
        <v>1595</v>
      </c>
      <c r="U17" s="259" t="s">
        <v>1596</v>
      </c>
      <c r="V17" s="806" t="s">
        <v>1083</v>
      </c>
      <c r="W17" s="806"/>
      <c r="X17" s="806"/>
      <c r="Y17" s="806"/>
      <c r="Z17" s="10"/>
      <c r="AA17" s="984" t="s">
        <v>2254</v>
      </c>
      <c r="AB17" s="985"/>
      <c r="AC17" s="985"/>
      <c r="AD17" s="986"/>
      <c r="AE17" s="10"/>
      <c r="AF17" s="10"/>
      <c r="AG17" s="10"/>
      <c r="AH17" s="10"/>
      <c r="AI17" s="10"/>
      <c r="AJ17" s="10"/>
      <c r="AK17" s="10"/>
      <c r="AL17" s="10"/>
      <c r="AM17" s="10"/>
      <c r="AN17" s="10"/>
      <c r="AO17" s="10"/>
      <c r="AP17" s="10"/>
      <c r="AQ17" s="10"/>
      <c r="AR17" s="10"/>
      <c r="AS17" s="10"/>
      <c r="AT17" s="10"/>
    </row>
    <row r="18" spans="2:48" ht="15" customHeight="1" x14ac:dyDescent="0.3">
      <c r="B18" s="18" t="s">
        <v>1573</v>
      </c>
      <c r="C18" s="925" t="s">
        <v>365</v>
      </c>
      <c r="D18" s="925"/>
      <c r="E18" s="925" t="s">
        <v>1795</v>
      </c>
      <c r="F18" s="925"/>
      <c r="G18" s="925" t="s">
        <v>365</v>
      </c>
      <c r="H18" s="925"/>
      <c r="I18" s="925" t="s">
        <v>1795</v>
      </c>
      <c r="J18" s="925"/>
      <c r="K18" s="925"/>
      <c r="L18" s="925"/>
      <c r="M18" s="925"/>
      <c r="N18" s="925"/>
      <c r="O18" s="925"/>
      <c r="P18" s="1010"/>
      <c r="R18" s="10"/>
      <c r="S18" s="50">
        <v>80</v>
      </c>
      <c r="T18" s="50" t="str">
        <f>IF(OR(C19="",C19="NA"),"",IF(C19&gt;S18,S18,IF(C19&lt;0,0,C19)))</f>
        <v/>
      </c>
      <c r="U18" s="531" t="str">
        <f>IF(OR(G19="",G19="NA"),"",IF(G19&gt;S18,S18,IF(G19&lt;0,0,G19)))</f>
        <v/>
      </c>
      <c r="V18" s="562" t="str">
        <f>IF(Y18="","",ROUND(Y18,0))</f>
        <v/>
      </c>
      <c r="W18" s="739" t="s">
        <v>1202</v>
      </c>
      <c r="X18" s="739"/>
      <c r="Y18" s="563" t="str">
        <f>IF(T18="","",IF(OR(U18="",U18=0,U18&lt;T18),T18,(T18*80)/U18))</f>
        <v/>
      </c>
      <c r="Z18" s="10"/>
      <c r="AA18" s="987"/>
      <c r="AB18" s="712"/>
      <c r="AC18" s="712"/>
      <c r="AD18" s="988"/>
      <c r="AE18" s="10"/>
      <c r="AF18" s="10"/>
      <c r="AG18" s="10"/>
      <c r="AH18" s="10"/>
      <c r="AI18" s="10"/>
      <c r="AJ18" s="10"/>
      <c r="AK18" s="10"/>
      <c r="AL18" s="10"/>
      <c r="AM18" s="10"/>
      <c r="AN18" s="10"/>
      <c r="AO18" s="10"/>
      <c r="AP18" s="10"/>
      <c r="AQ18" s="10"/>
      <c r="AR18" s="10"/>
      <c r="AS18" s="10"/>
      <c r="AT18" s="10"/>
    </row>
    <row r="19" spans="2:48" ht="15" customHeight="1" x14ac:dyDescent="0.3">
      <c r="B19" s="146" t="s">
        <v>1574</v>
      </c>
      <c r="C19" s="708"/>
      <c r="D19" s="708"/>
      <c r="E19" s="948">
        <f>UETable!BF3</f>
        <v>0</v>
      </c>
      <c r="F19" s="948"/>
      <c r="G19" s="708"/>
      <c r="H19" s="708"/>
      <c r="I19" s="929">
        <f>IF(C19="",0,IF(OR(C19&lt;=0,G19&lt;=0),E19,IF(G19&lt;C19,0,UETable!BK3)))</f>
        <v>0</v>
      </c>
      <c r="J19" s="929"/>
      <c r="K19" s="946" t="str">
        <f>IF(OR(C19="NA",G19="NA"),"",IF(AND(C19&lt;&gt;"",G19=""),"Enter contralateral or NA.",IF(AND(C19="",G19&lt;&gt;""),"Need data","")))</f>
        <v/>
      </c>
      <c r="L19" s="946"/>
      <c r="M19" s="946"/>
      <c r="N19" s="946"/>
      <c r="O19" s="946"/>
      <c r="P19" s="1010"/>
      <c r="R19" s="10"/>
      <c r="S19" s="50">
        <v>80</v>
      </c>
      <c r="T19" s="50" t="str">
        <f>IF(OR(C20="",C20="NA"),"",IF(C20&gt;S18,S18,IF(C20&lt;0,0,C20)))</f>
        <v/>
      </c>
      <c r="U19" s="531" t="str">
        <f>IF(OR(G20="",G20="NA"),"",IF(G20&gt;S18,S18,IF(G20&lt;0,0,G20)))</f>
        <v/>
      </c>
      <c r="V19" s="562" t="str">
        <f>IF(Y19="","",ROUND(Y19,0))</f>
        <v/>
      </c>
      <c r="W19" s="531">
        <f>IF(T19="",0,80-T19)</f>
        <v>0</v>
      </c>
      <c r="X19" s="50">
        <f>IF(U19="",0,80-U19)</f>
        <v>0</v>
      </c>
      <c r="Y19" s="563" t="str">
        <f>IF(T19="","",IF(OR(U19="",U19=0,U19&gt;T19),T19,80-(W19*80)/X19))</f>
        <v/>
      </c>
      <c r="Z19" s="10"/>
      <c r="AA19" s="989"/>
      <c r="AB19" s="990"/>
      <c r="AC19" s="990"/>
      <c r="AD19" s="991"/>
      <c r="AE19" s="10"/>
      <c r="AF19" s="10"/>
      <c r="AG19" s="10"/>
      <c r="AH19" s="10"/>
      <c r="AI19" s="10"/>
      <c r="AJ19" s="10"/>
      <c r="AK19" s="10"/>
      <c r="AL19" s="10"/>
      <c r="AM19" s="10"/>
      <c r="AN19" s="10"/>
      <c r="AO19" s="10"/>
      <c r="AP19" s="10"/>
      <c r="AQ19" s="10"/>
      <c r="AR19" s="10"/>
      <c r="AS19" s="10"/>
      <c r="AT19" s="10"/>
    </row>
    <row r="20" spans="2:48" ht="15" customHeight="1" x14ac:dyDescent="0.3">
      <c r="B20" s="146" t="s">
        <v>1575</v>
      </c>
      <c r="C20" s="708"/>
      <c r="D20" s="708"/>
      <c r="E20" s="948">
        <f>UETable!BF4</f>
        <v>0</v>
      </c>
      <c r="F20" s="948"/>
      <c r="G20" s="708"/>
      <c r="H20" s="708"/>
      <c r="I20" s="929">
        <f>IF(C20="",0,IF(OR(C20&gt;=80,G20&gt;=80),E20,IF(G20&gt;C20,0,UETable!BK4)))</f>
        <v>0</v>
      </c>
      <c r="J20" s="929"/>
      <c r="K20" s="946" t="str">
        <f>IF(OR(C20="NA",G20="NA"),"",IF(AND(C20&lt;&gt;"",G20=""),"Enter contralateral or NA.",IF(AND(C20="",G20&lt;&gt;""),"Need data","")))</f>
        <v/>
      </c>
      <c r="L20" s="946"/>
      <c r="M20" s="946"/>
      <c r="N20" s="946"/>
      <c r="O20" s="946"/>
      <c r="P20" s="1010"/>
      <c r="R20" s="10"/>
      <c r="S20" s="531">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row>
    <row r="21" spans="2:48" ht="15" customHeight="1" x14ac:dyDescent="0.3">
      <c r="B21" s="146" t="s">
        <v>1576</v>
      </c>
      <c r="C21" s="708"/>
      <c r="D21" s="708"/>
      <c r="E21" s="948">
        <f>IF(AND(C21&lt;&gt;"",C21&lt;&gt;"NA",C20&lt;&gt;"NA",C20&lt;&gt;""),"ERROR",IF(AND(C21&lt;&gt;"",C21&lt;&gt;"NA",C19&lt;&gt;"",C19&lt;&gt;"NA"),"ERROR",UETable!BF5))</f>
        <v>0</v>
      </c>
      <c r="F21" s="948"/>
      <c r="G21" s="946" t="str">
        <f>IF(AND(C21&lt;&gt;"",C21&lt;&gt;"NA",C20&lt;&gt;"NA",C20&lt;&gt;""),"ERROR: Cannot rate ROM and ankylosis.",IF(AND(C21&lt;&gt;"",C21&lt;&gt;"NA",C19&lt;&gt;"",C19&lt;&gt;"NA"),"ERROR: Cannot rate ROM and ankylosis.",""))</f>
        <v/>
      </c>
      <c r="H21" s="946"/>
      <c r="I21" s="946"/>
      <c r="J21" s="946"/>
      <c r="K21" s="946"/>
      <c r="L21" s="946"/>
      <c r="M21" s="946"/>
      <c r="N21" s="946"/>
      <c r="O21" s="946"/>
      <c r="P21" s="1010"/>
      <c r="R21" s="132"/>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3">
      <c r="B22" s="993"/>
      <c r="C22" s="994"/>
      <c r="D22" s="994"/>
      <c r="E22" s="994"/>
      <c r="F22" s="994"/>
      <c r="G22" s="994"/>
      <c r="H22" s="994"/>
      <c r="I22" s="994"/>
      <c r="J22" s="995"/>
      <c r="K22" s="958" t="s">
        <v>1841</v>
      </c>
      <c r="L22" s="958"/>
      <c r="M22" s="958"/>
      <c r="N22" s="958"/>
      <c r="O22" s="65">
        <f>IF(E21="ERROR","ERROR",IF(R22&gt;1,1,R22))</f>
        <v>0</v>
      </c>
      <c r="P22" s="1010"/>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3">
      <c r="B23" s="146" t="s">
        <v>1577</v>
      </c>
      <c r="C23" s="708"/>
      <c r="D23" s="708"/>
      <c r="E23" s="948">
        <f>UETable!BF7</f>
        <v>0</v>
      </c>
      <c r="F23" s="948"/>
      <c r="G23" s="708"/>
      <c r="H23" s="708"/>
      <c r="I23" s="929">
        <f>IF(C23="",0,IF(OR(C23&lt;=0,G23&lt;=0),E23,IF(G23&lt;C23,0,UETable!BK7)))</f>
        <v>0</v>
      </c>
      <c r="J23" s="929"/>
      <c r="K23" s="946" t="str">
        <f>IF(OR(C23="NA",G23="NA"),"",IF(AND(C23&lt;&gt;"",G23=""),"Enter contralateral or NA.",IF(AND(C23="",G23&lt;&gt;""),"Need data","")))</f>
        <v/>
      </c>
      <c r="L23" s="946"/>
      <c r="M23" s="946"/>
      <c r="N23" s="946"/>
      <c r="O23" s="946"/>
      <c r="P23" s="1010"/>
      <c r="R23" s="132"/>
      <c r="S23" s="50">
        <v>60</v>
      </c>
      <c r="T23" s="50" t="str">
        <f>IF(OR(C23="",C23="NA"),"",IF(C23&gt;S23,S23,IF(C23&lt;0,0,C23)))</f>
        <v/>
      </c>
      <c r="U23" s="50" t="str">
        <f>IF(OR(G23="",G23="NA"),"",IF(G23&gt;S23,S23,IF(G23&lt;0,0,G23)))</f>
        <v/>
      </c>
      <c r="V23" s="562" t="str">
        <f>IF(Y23="","",ROUND(Y23,0))</f>
        <v/>
      </c>
      <c r="W23" s="806" t="s">
        <v>1202</v>
      </c>
      <c r="X23" s="806"/>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3">
      <c r="B24" s="146" t="s">
        <v>1578</v>
      </c>
      <c r="C24" s="708"/>
      <c r="D24" s="708"/>
      <c r="E24" s="948">
        <f>UETable!BF8</f>
        <v>0</v>
      </c>
      <c r="F24" s="948"/>
      <c r="G24" s="708"/>
      <c r="H24" s="708"/>
      <c r="I24" s="929">
        <f>IF(C24="",0,IF(OR(C24&gt;=60,G24&gt;=60),E24,IF(G24&gt;C24,0,UETable!BK8)))</f>
        <v>0</v>
      </c>
      <c r="J24" s="929"/>
      <c r="K24" s="946" t="str">
        <f>IF(OR(C24="NA",G24="NA"),"",IF(AND(C24&lt;&gt;"",G24=""),"Enter contralateral or NA.",IF(AND(C24="",G24&lt;&gt;""),"Need data","")))</f>
        <v/>
      </c>
      <c r="L24" s="946"/>
      <c r="M24" s="946"/>
      <c r="N24" s="946"/>
      <c r="O24" s="946"/>
      <c r="P24" s="1010"/>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row>
    <row r="25" spans="2:48" ht="15" customHeight="1" x14ac:dyDescent="0.3">
      <c r="B25" s="146" t="s">
        <v>643</v>
      </c>
      <c r="C25" s="708"/>
      <c r="D25" s="708"/>
      <c r="E25" s="948">
        <f>IF(AND(C25&lt;&gt;"",C25&lt;&gt;"NA",C24&lt;&gt;"NA",C24&lt;&gt;""),"ERROR",IF(AND(C25&lt;&gt;"",C25&lt;&gt;"NA",C23&lt;&gt;"",C23&lt;&gt;"NA"),"ERROR",UETable!BF9))</f>
        <v>0</v>
      </c>
      <c r="F25" s="948"/>
      <c r="G25" s="946" t="str">
        <f>IF(AND(C25&lt;&gt;"",C25&lt;&gt;"NA",C24&lt;&gt;"NA",C24&lt;&gt;""),"ERROR: Cannot rate ROM and ankylosis.",IF(AND(C25&lt;&gt;"",C25&lt;&gt;"NA",C23&lt;&gt;"",C23&lt;&gt;"NA"),"ERROR: Cannot rate ROM and ankylosis.",""))</f>
        <v/>
      </c>
      <c r="H25" s="946"/>
      <c r="I25" s="946"/>
      <c r="J25" s="946"/>
      <c r="K25" s="946"/>
      <c r="L25" s="946"/>
      <c r="M25" s="946"/>
      <c r="N25" s="946"/>
      <c r="O25" s="946"/>
      <c r="P25" s="1010"/>
      <c r="R25" s="10"/>
      <c r="S25" s="50">
        <v>60</v>
      </c>
      <c r="T25" s="50" t="str">
        <f>IF(OR(C25="",C25="NA"),"",IF(C25&gt;S25,S25,IF(C25&lt;0,0,C25)))</f>
        <v/>
      </c>
      <c r="U25" s="10"/>
      <c r="V25" s="10"/>
      <c r="W25" s="10"/>
      <c r="X25" s="10"/>
      <c r="Y25" s="10"/>
      <c r="Z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row>
    <row r="26" spans="2:48" ht="15" customHeight="1" x14ac:dyDescent="0.3">
      <c r="B26" s="636"/>
      <c r="C26" s="637"/>
      <c r="D26" s="637"/>
      <c r="E26" s="1155" t="str">
        <f>IF(AND(OR(E21&gt;0,E25&gt;0),C27&gt;0),"Note: Ankylosis impairment is not apportioned.","")</f>
        <v/>
      </c>
      <c r="F26" s="1155"/>
      <c r="G26" s="1155"/>
      <c r="H26" s="1155"/>
      <c r="I26" s="1155"/>
      <c r="J26" s="1155"/>
      <c r="K26" s="958" t="s">
        <v>1841</v>
      </c>
      <c r="L26" s="958"/>
      <c r="M26" s="958"/>
      <c r="N26" s="958"/>
      <c r="O26" s="65">
        <f>IF(E25="ERROR","ERROR",IF(R26&gt;1,1,R26))</f>
        <v>0</v>
      </c>
      <c r="P26" s="1010"/>
      <c r="R26" s="194">
        <f>SUM(I23,I24,E25)</f>
        <v>0</v>
      </c>
      <c r="S26" s="10"/>
      <c r="T26" s="10"/>
      <c r="U26" s="10"/>
      <c r="V26" s="10"/>
      <c r="W26" s="10"/>
      <c r="X26" s="10"/>
      <c r="Y26" s="10"/>
      <c r="Z26" s="10"/>
      <c r="AA26" s="557">
        <f>IF(AND(AB20&gt;0,AB20&lt;0.01),0.01,ROUND(AB20,2))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3">
      <c r="B27" s="13" t="s">
        <v>2255</v>
      </c>
      <c r="C27" s="1028"/>
      <c r="D27" s="1150"/>
      <c r="E27" s="1155"/>
      <c r="F27" s="1155"/>
      <c r="G27" s="1155"/>
      <c r="H27" s="1155"/>
      <c r="I27" s="1155"/>
      <c r="J27" s="1155"/>
      <c r="K27" s="958" t="s">
        <v>1135</v>
      </c>
      <c r="L27" s="958"/>
      <c r="M27" s="958"/>
      <c r="N27" s="958"/>
      <c r="O27" s="958"/>
      <c r="P27" s="99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3">
      <c r="B28" s="792"/>
      <c r="C28" s="792"/>
      <c r="D28" s="792"/>
      <c r="E28" s="792"/>
      <c r="F28" s="792"/>
      <c r="G28" s="792"/>
      <c r="H28" s="792"/>
      <c r="I28" s="792"/>
      <c r="J28" s="792"/>
      <c r="K28" s="792"/>
      <c r="L28" s="792"/>
      <c r="M28" s="792"/>
      <c r="N28" s="792"/>
      <c r="O28" s="792"/>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3">
      <c r="B29" s="485"/>
      <c r="C29" s="1012" t="s">
        <v>248</v>
      </c>
      <c r="D29" s="1078"/>
      <c r="E29" s="982" t="s">
        <v>249</v>
      </c>
      <c r="F29" s="1080"/>
      <c r="G29" s="355"/>
      <c r="H29" s="357"/>
      <c r="I29" s="1011" t="s">
        <v>250</v>
      </c>
      <c r="J29" s="1068"/>
      <c r="K29" s="477"/>
      <c r="L29" s="357"/>
      <c r="M29" s="982" t="s">
        <v>249</v>
      </c>
      <c r="N29" s="1080"/>
      <c r="O29" s="356"/>
      <c r="P29" s="357"/>
      <c r="Z29" s="482"/>
      <c r="AE29" s="481"/>
      <c r="AF29" s="481"/>
      <c r="AG29" s="481"/>
      <c r="AH29" s="481"/>
      <c r="AI29" s="481"/>
      <c r="AJ29" s="481"/>
      <c r="AK29" s="481"/>
      <c r="AL29" s="481"/>
      <c r="AM29" s="481"/>
      <c r="AN29" s="481"/>
    </row>
    <row r="30" spans="2:48" ht="12" customHeight="1" x14ac:dyDescent="0.3">
      <c r="B30" s="486"/>
      <c r="C30" s="970" t="s">
        <v>251</v>
      </c>
      <c r="D30" s="1069"/>
      <c r="E30" s="970" t="s">
        <v>252</v>
      </c>
      <c r="F30" s="1069"/>
      <c r="G30" s="970" t="s">
        <v>253</v>
      </c>
      <c r="H30" s="1069"/>
      <c r="I30" s="962" t="s">
        <v>254</v>
      </c>
      <c r="J30" s="1070"/>
      <c r="K30" s="970" t="s">
        <v>255</v>
      </c>
      <c r="L30" s="1069"/>
      <c r="M30" s="970" t="s">
        <v>256</v>
      </c>
      <c r="N30" s="1069"/>
      <c r="P30" s="321"/>
      <c r="Z30" s="332"/>
      <c r="AE30" s="481"/>
      <c r="AF30" s="481"/>
      <c r="AG30" s="481"/>
      <c r="AH30" s="481"/>
      <c r="AI30" s="481"/>
      <c r="AJ30" s="481"/>
      <c r="AK30" s="481"/>
      <c r="AL30" s="481"/>
      <c r="AM30" s="481"/>
      <c r="AN30" s="481"/>
    </row>
    <row r="31" spans="2:48" ht="12" customHeight="1" x14ac:dyDescent="0.3">
      <c r="B31" s="486"/>
      <c r="C31" s="943" t="s">
        <v>257</v>
      </c>
      <c r="D31" s="1067"/>
      <c r="E31" s="943" t="s">
        <v>258</v>
      </c>
      <c r="F31" s="1067"/>
      <c r="G31" s="943" t="s">
        <v>259</v>
      </c>
      <c r="H31" s="1067"/>
      <c r="I31" s="1013" t="s">
        <v>260</v>
      </c>
      <c r="J31" s="1071"/>
      <c r="K31" s="943" t="s">
        <v>259</v>
      </c>
      <c r="L31" s="1067"/>
      <c r="M31" s="943" t="s">
        <v>258</v>
      </c>
      <c r="N31" s="1067"/>
      <c r="P31" s="321"/>
      <c r="AH31" s="50">
        <v>1</v>
      </c>
      <c r="AI31" s="50">
        <v>2</v>
      </c>
      <c r="AJ31" s="50">
        <v>3</v>
      </c>
      <c r="AK31" s="50">
        <v>4</v>
      </c>
      <c r="AM31" s="481"/>
      <c r="AN31" s="481"/>
      <c r="AO31" s="481"/>
      <c r="AP31" s="481"/>
      <c r="AQ31" s="481"/>
      <c r="AR31" s="481"/>
      <c r="AS31" s="481"/>
      <c r="AT31" s="481"/>
      <c r="AU31" s="481"/>
      <c r="AV31" s="481"/>
    </row>
    <row r="32" spans="2:48" ht="12" customHeight="1" x14ac:dyDescent="0.3">
      <c r="B32" s="548" t="s">
        <v>1985</v>
      </c>
      <c r="C32" s="943" t="s">
        <v>261</v>
      </c>
      <c r="D32" s="1067"/>
      <c r="E32" s="943" t="s">
        <v>261</v>
      </c>
      <c r="F32" s="1067"/>
      <c r="G32" s="943" t="s">
        <v>261</v>
      </c>
      <c r="H32" s="1067"/>
      <c r="I32" s="943" t="s">
        <v>261</v>
      </c>
      <c r="J32" s="1067"/>
      <c r="K32" s="943" t="s">
        <v>261</v>
      </c>
      <c r="L32" s="1067"/>
      <c r="M32" s="943" t="s">
        <v>261</v>
      </c>
      <c r="N32" s="1067"/>
      <c r="P32" s="321"/>
      <c r="S32" s="910" t="s">
        <v>2230</v>
      </c>
      <c r="T32" s="911"/>
      <c r="U32" s="911"/>
      <c r="V32" s="912"/>
      <c r="W32" s="480"/>
      <c r="X32" s="910" t="s">
        <v>2196</v>
      </c>
      <c r="Y32" s="911"/>
      <c r="Z32" s="911"/>
      <c r="AA32" s="912"/>
      <c r="AB32" s="480"/>
      <c r="AC32" s="952" t="s">
        <v>2196</v>
      </c>
      <c r="AD32" s="953"/>
      <c r="AE32" s="953"/>
      <c r="AF32" s="954"/>
      <c r="AG32" s="480"/>
      <c r="AH32" s="1162" t="s">
        <v>2196</v>
      </c>
      <c r="AI32" s="1163"/>
      <c r="AJ32" s="1164"/>
      <c r="AL32" s="907" t="s">
        <v>2196</v>
      </c>
      <c r="AM32" s="908"/>
      <c r="AN32" s="908"/>
      <c r="AO32" s="909"/>
      <c r="AQ32" s="907" t="s">
        <v>2196</v>
      </c>
      <c r="AR32" s="908"/>
      <c r="AS32" s="908"/>
      <c r="AT32" s="909"/>
    </row>
    <row r="33" spans="1:109" ht="15" customHeight="1" x14ac:dyDescent="0.3">
      <c r="B33" s="146" t="s">
        <v>1599</v>
      </c>
      <c r="C33" s="945"/>
      <c r="D33" s="945"/>
      <c r="E33" s="945"/>
      <c r="F33" s="945"/>
      <c r="G33" s="925" t="s">
        <v>1941</v>
      </c>
      <c r="H33" s="925"/>
      <c r="I33" s="945"/>
      <c r="J33" s="945"/>
      <c r="K33" s="925" t="s">
        <v>1941</v>
      </c>
      <c r="L33" s="925"/>
      <c r="M33" s="945"/>
      <c r="N33" s="945"/>
      <c r="P33" s="321"/>
      <c r="S33" s="304">
        <f>IF(C33="",0,C33)</f>
        <v>0</v>
      </c>
      <c r="T33" s="304">
        <f>IF(AND(E33&lt;&gt;C33,E33&lt;&gt;""),E33,IF(OR(E34&lt;&gt;"",E35&lt;&gt;""),0,S33))</f>
        <v>0</v>
      </c>
      <c r="U33" s="304">
        <f>IF(AND(I33&lt;&gt;E33,I33&lt;&gt;""),I33,IF(OR(I34&lt;&gt;"",I35&lt;&gt;""),0,T33))</f>
        <v>0</v>
      </c>
      <c r="V33" s="304">
        <f>IF(AND(M33&lt;&gt;I33,M33&lt;&gt;""),M33,IF(OR(M34&lt;&gt;"",M35&lt;&gt;""),0,U33))</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483">
        <f>IF(S33=1,0,IF(S33=2,0.12,IF(S33=3,0.17,IF(S33=4,0.23,0))))</f>
        <v>0</v>
      </c>
      <c r="AM33" s="483">
        <f>IF(T33=1,0,IF(T33=2,0.08,IF(T33=3,0.12,IF(T33=4,0.15,0))))</f>
        <v>0</v>
      </c>
      <c r="AO33" s="483">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78" t="s">
        <v>2196</v>
      </c>
      <c r="AY33" s="878"/>
      <c r="AZ33" s="878"/>
      <c r="BA33" s="878"/>
      <c r="BB33" s="878"/>
      <c r="BC33" s="878"/>
    </row>
    <row r="34" spans="1:109" ht="15" customHeight="1" x14ac:dyDescent="0.3">
      <c r="B34" s="304" t="s">
        <v>1600</v>
      </c>
      <c r="C34" s="945"/>
      <c r="D34" s="945"/>
      <c r="E34" s="945"/>
      <c r="F34" s="945"/>
      <c r="G34" s="925" t="s">
        <v>1941</v>
      </c>
      <c r="H34" s="925"/>
      <c r="I34" s="945"/>
      <c r="J34" s="945"/>
      <c r="K34" s="925" t="s">
        <v>1941</v>
      </c>
      <c r="L34" s="925"/>
      <c r="M34" s="945"/>
      <c r="N34" s="945"/>
      <c r="P34" s="321"/>
      <c r="S34" s="304">
        <f>IF(C34="",0,C34)</f>
        <v>0</v>
      </c>
      <c r="T34" s="304">
        <f>IF(E34&lt;&gt;C34,E34,IF(AND(E35&lt;&gt;C35,S33&gt;1),S33,0))</f>
        <v>0</v>
      </c>
      <c r="U34" s="304">
        <f>IF(I34&lt;&gt;E34,I34,IF(AND(I35&lt;&gt;E35,T33&gt;1),T33,0))</f>
        <v>0</v>
      </c>
      <c r="V34" s="304">
        <f>IF(M34&lt;&gt;I34,M34,IF(AND(M35&lt;&gt;I35,U33&gt;1),U33,0))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3">
      <c r="B35" s="487" t="s">
        <v>1601</v>
      </c>
      <c r="C35" s="945"/>
      <c r="D35" s="945"/>
      <c r="E35" s="945"/>
      <c r="F35" s="945"/>
      <c r="G35" s="845" t="s">
        <v>1941</v>
      </c>
      <c r="H35" s="845"/>
      <c r="I35" s="945"/>
      <c r="J35" s="945"/>
      <c r="K35" s="845" t="s">
        <v>1941</v>
      </c>
      <c r="L35" s="845"/>
      <c r="M35" s="945"/>
      <c r="N35" s="945"/>
      <c r="P35" s="321"/>
      <c r="S35" s="304">
        <f>IF(C35="",0,C35)</f>
        <v>0</v>
      </c>
      <c r="T35" s="304">
        <f>IF(E35&lt;&gt;C35,E35,IF(AND(E34&lt;&gt;C34,S33&gt;1),S33,0))</f>
        <v>0</v>
      </c>
      <c r="U35" s="304">
        <f>IF(I35&lt;&gt;E35,I35,IF(AND(I34&lt;&gt;E34,T33&gt;1),T33,0))</f>
        <v>0</v>
      </c>
      <c r="V35" s="304">
        <f>IF(M35&lt;&gt;I35,M35,IF(AND(M34&lt;&gt;I34,U33&gt;1),U33,0))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3">
      <c r="B36" s="978" t="str">
        <f>IF(AA36=1,"ERROR: If radial or ulnar impairment is recorded, do not enter losses for 'both sides.'","")</f>
        <v/>
      </c>
      <c r="C36" s="979"/>
      <c r="D36" s="979"/>
      <c r="E36" s="979"/>
      <c r="F36" s="979"/>
      <c r="G36" s="979"/>
      <c r="H36" s="979"/>
      <c r="I36" s="979"/>
      <c r="J36" s="979"/>
      <c r="K36" s="979"/>
      <c r="L36" s="979"/>
      <c r="M36" s="979"/>
      <c r="N36" s="979"/>
      <c r="O36" s="980"/>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3">
      <c r="B37" s="355" t="s">
        <v>1226</v>
      </c>
      <c r="C37" s="356"/>
      <c r="D37" s="356"/>
      <c r="E37" s="356"/>
      <c r="F37" s="356"/>
      <c r="G37" s="356"/>
      <c r="H37" s="356"/>
      <c r="I37" s="356"/>
      <c r="J37" s="356"/>
      <c r="K37" s="356"/>
      <c r="L37" s="356"/>
      <c r="M37" s="356"/>
      <c r="N37" s="356"/>
      <c r="O37" s="356"/>
      <c r="P37" s="357"/>
    </row>
    <row r="38" spans="1:109" ht="15" customHeight="1" x14ac:dyDescent="0.3">
      <c r="B38" s="146" t="s">
        <v>1599</v>
      </c>
      <c r="C38" s="945"/>
      <c r="D38" s="945"/>
      <c r="E38" s="945"/>
      <c r="F38" s="945"/>
      <c r="G38" s="925" t="s">
        <v>1941</v>
      </c>
      <c r="H38" s="925"/>
      <c r="I38" s="945"/>
      <c r="J38" s="945"/>
      <c r="K38" s="925" t="s">
        <v>1941</v>
      </c>
      <c r="L38" s="925"/>
      <c r="M38" s="945"/>
      <c r="N38" s="945"/>
      <c r="P38" s="321"/>
      <c r="S38" s="304">
        <f>IF(C38="",0,C38)</f>
        <v>0</v>
      </c>
      <c r="T38" s="304">
        <f>IF(AND(E38&lt;&gt;C38,E38&lt;&gt;""),E38,IF(OR(E39&lt;&gt;"",E40&lt;&gt;""),0,S38))</f>
        <v>0</v>
      </c>
      <c r="U38" s="304">
        <f>IF(AND(I38&lt;&gt;E38,I38&lt;&gt;""),I38,IF(OR(I39&lt;&gt;"",I40&lt;&gt;""),0,T38))</f>
        <v>0</v>
      </c>
      <c r="V38" s="304">
        <f>IF(AND(M38&lt;&gt;I38,M38&lt;&gt;""),M38,IF(OR(M39&lt;&gt;"",M40&lt;&gt;""),0,U38))</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3">
      <c r="B39" s="304" t="s">
        <v>1600</v>
      </c>
      <c r="C39" s="945"/>
      <c r="D39" s="945"/>
      <c r="E39" s="945"/>
      <c r="F39" s="945"/>
      <c r="G39" s="925" t="s">
        <v>1941</v>
      </c>
      <c r="H39" s="925"/>
      <c r="I39" s="945"/>
      <c r="J39" s="945"/>
      <c r="K39" s="925" t="s">
        <v>1941</v>
      </c>
      <c r="L39" s="925"/>
      <c r="M39" s="945"/>
      <c r="N39" s="945"/>
      <c r="P39" s="321"/>
      <c r="S39" s="304">
        <f>IF(C39="",0,C39)</f>
        <v>0</v>
      </c>
      <c r="T39" s="304">
        <f>IF(E39&lt;&gt;C39,E39,IF(AND(E40&lt;&gt;C40,S38&gt;1),S38,0))</f>
        <v>0</v>
      </c>
      <c r="U39" s="304">
        <f>IF(I39&lt;&gt;E39,I39,IF(AND(I40&lt;&gt;E40,T38&gt;1),T38,0))</f>
        <v>0</v>
      </c>
      <c r="V39" s="304">
        <f>IF(M39&lt;&gt;I39,M39,IF(AND(M40&lt;&gt;I40,U38&gt;1),U38,0))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3">
      <c r="B40" s="487" t="s">
        <v>1601</v>
      </c>
      <c r="C40" s="945"/>
      <c r="D40" s="945"/>
      <c r="E40" s="945"/>
      <c r="F40" s="945"/>
      <c r="G40" s="845" t="s">
        <v>1941</v>
      </c>
      <c r="H40" s="845"/>
      <c r="I40" s="945"/>
      <c r="J40" s="945"/>
      <c r="K40" s="845" t="s">
        <v>1941</v>
      </c>
      <c r="L40" s="845"/>
      <c r="M40" s="945"/>
      <c r="N40" s="945"/>
      <c r="P40" s="321"/>
      <c r="S40" s="304">
        <f>IF(C40="",0,C40)</f>
        <v>0</v>
      </c>
      <c r="T40" s="304">
        <f>IF(E40&lt;&gt;C40,E40,IF(AND(E39&lt;&gt;C39,S38&gt;1),S38,0))</f>
        <v>0</v>
      </c>
      <c r="U40" s="304">
        <f>IF(I40&lt;&gt;E40,I40,IF(AND(I39&lt;&gt;E39,T38&gt;1),T38,0))</f>
        <v>0</v>
      </c>
      <c r="V40" s="304">
        <f>IF(M40&lt;&gt;I40,M40,IF(AND(M39&lt;&gt;I39,U38&gt;1),U38,0))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3">
      <c r="B41" s="978" t="str">
        <f>IF(AA41=1,"ERROR: If radial or ulnar impairment is recorded, do not enter losses for 'both sides.'","")</f>
        <v/>
      </c>
      <c r="C41" s="979"/>
      <c r="D41" s="979"/>
      <c r="E41" s="979"/>
      <c r="F41" s="979"/>
      <c r="G41" s="979"/>
      <c r="H41" s="979"/>
      <c r="I41" s="979"/>
      <c r="J41" s="979"/>
      <c r="K41" s="979"/>
      <c r="L41" s="979"/>
      <c r="M41" s="979"/>
      <c r="N41" s="979"/>
      <c r="O41" s="980"/>
      <c r="P41" s="248">
        <f>IF(B41&lt;&gt;"","ERROR",BB40)</f>
        <v>0</v>
      </c>
      <c r="S41" s="480"/>
      <c r="T41" s="480"/>
      <c r="U41" s="480"/>
      <c r="X41" s="304">
        <f>SUM(X38:AA38)</f>
        <v>0</v>
      </c>
      <c r="Y41" s="304">
        <f>SUM(X39:AA39)</f>
        <v>0</v>
      </c>
      <c r="Z41" s="304">
        <f>SUM(X40:AA40)</f>
        <v>0</v>
      </c>
      <c r="AA41" s="304">
        <f>IF(AND(X41&gt;0,Y41&gt;0),1,IF(AND(X41&gt;0,Z41&gt;0),1,0))</f>
        <v>0</v>
      </c>
    </row>
    <row r="42" spans="1:109" ht="12" customHeight="1" x14ac:dyDescent="0.3">
      <c r="B42" s="1053"/>
      <c r="C42" s="1053"/>
      <c r="D42" s="1053"/>
      <c r="E42" s="1053"/>
      <c r="F42" s="1053"/>
      <c r="G42" s="1053"/>
      <c r="H42" s="1053"/>
      <c r="I42" s="1053"/>
      <c r="J42" s="1053"/>
      <c r="K42" s="1053"/>
      <c r="L42" s="1053"/>
      <c r="M42" s="1053"/>
      <c r="N42" s="1053"/>
      <c r="O42" s="1053"/>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3">
      <c r="B43" s="41"/>
      <c r="C43" s="41"/>
      <c r="D43" s="41"/>
      <c r="E43" s="41"/>
      <c r="F43" s="41"/>
      <c r="G43" s="41"/>
      <c r="H43" s="41"/>
      <c r="I43" s="41"/>
      <c r="J43" s="41"/>
      <c r="K43" s="41"/>
      <c r="L43" s="41"/>
      <c r="M43" s="41"/>
      <c r="N43" s="41"/>
      <c r="O43" s="41"/>
      <c r="P43" s="73"/>
      <c r="R43" s="10"/>
      <c r="S43" s="878" t="s">
        <v>2196</v>
      </c>
      <c r="T43" s="878"/>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3">
      <c r="A44" s="15"/>
      <c r="B44" s="964" t="s">
        <v>973</v>
      </c>
      <c r="C44" s="965"/>
      <c r="D44" s="934"/>
      <c r="E44" s="934"/>
      <c r="F44" s="971" t="s">
        <v>1228</v>
      </c>
      <c r="G44" s="971"/>
      <c r="H44" s="971"/>
      <c r="I44" s="971"/>
      <c r="J44" s="971"/>
      <c r="K44" s="971"/>
      <c r="L44" s="971"/>
      <c r="M44" s="971"/>
      <c r="N44" s="971"/>
      <c r="O44" s="971"/>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3">
      <c r="B45" s="966"/>
      <c r="C45" s="967"/>
      <c r="D45" s="934"/>
      <c r="E45" s="934"/>
      <c r="F45" s="971" t="s">
        <v>1230</v>
      </c>
      <c r="G45" s="971"/>
      <c r="H45" s="971"/>
      <c r="I45" s="971"/>
      <c r="J45" s="971"/>
      <c r="K45" s="971"/>
      <c r="L45" s="971"/>
      <c r="M45" s="971"/>
      <c r="N45" s="971"/>
      <c r="O45" s="971"/>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3">
      <c r="B46" s="966"/>
      <c r="C46" s="967"/>
      <c r="D46" s="934"/>
      <c r="E46" s="934"/>
      <c r="F46" s="971" t="s">
        <v>1229</v>
      </c>
      <c r="G46" s="971"/>
      <c r="H46" s="971"/>
      <c r="I46" s="971"/>
      <c r="J46" s="971"/>
      <c r="K46" s="971"/>
      <c r="L46" s="971"/>
      <c r="M46" s="971"/>
      <c r="N46" s="971"/>
      <c r="O46" s="971"/>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3">
      <c r="B47" s="968"/>
      <c r="C47" s="969"/>
      <c r="D47" s="934"/>
      <c r="E47" s="934"/>
      <c r="F47" s="971" t="s">
        <v>1231</v>
      </c>
      <c r="G47" s="971"/>
      <c r="H47" s="971"/>
      <c r="I47" s="971"/>
      <c r="J47" s="971"/>
      <c r="K47" s="971"/>
      <c r="L47" s="971"/>
      <c r="M47" s="971"/>
      <c r="N47" s="971"/>
      <c r="O47" s="971"/>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3">
      <c r="B48" s="792"/>
      <c r="C48" s="792"/>
      <c r="D48" s="792"/>
      <c r="E48" s="792"/>
      <c r="F48" s="792"/>
      <c r="G48" s="792"/>
      <c r="H48" s="792"/>
      <c r="I48" s="792"/>
      <c r="J48" s="792"/>
      <c r="K48" s="792"/>
      <c r="L48" s="792"/>
      <c r="M48" s="792"/>
      <c r="N48" s="792"/>
      <c r="O48" s="792"/>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3">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3">
      <c r="B50" s="50" t="s">
        <v>1232</v>
      </c>
      <c r="C50" s="925" t="s">
        <v>1370</v>
      </c>
      <c r="D50" s="925"/>
      <c r="E50" s="925"/>
      <c r="F50" s="925"/>
      <c r="G50" s="925"/>
      <c r="H50" s="925" t="s">
        <v>1795</v>
      </c>
      <c r="I50" s="925"/>
      <c r="J50" s="925"/>
      <c r="K50" s="18"/>
      <c r="L50" s="925" t="s">
        <v>1233</v>
      </c>
      <c r="M50" s="925"/>
      <c r="N50" s="925"/>
      <c r="O50" s="925"/>
      <c r="P50" s="872">
        <f>U52</f>
        <v>0</v>
      </c>
      <c r="R50" s="10"/>
      <c r="S50" s="568" t="s">
        <v>1596</v>
      </c>
      <c r="T50" s="568" t="s">
        <v>1304</v>
      </c>
      <c r="U50" s="568" t="s">
        <v>2187</v>
      </c>
      <c r="V50" s="10"/>
      <c r="W50" s="878" t="s">
        <v>2196</v>
      </c>
      <c r="X50" s="878"/>
      <c r="Y50" s="878"/>
      <c r="Z50" s="878"/>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3">
      <c r="B51" s="50" t="s">
        <v>1234</v>
      </c>
      <c r="C51" s="933"/>
      <c r="D51" s="933"/>
      <c r="E51" s="933"/>
      <c r="F51" s="933"/>
      <c r="G51" s="933"/>
      <c r="H51" s="936">
        <f>IF(C51=$X$52,0.03,IF(C51=$Y$52,0.06,IF(C51=$Z$52,0.09,0)))</f>
        <v>0</v>
      </c>
      <c r="I51" s="936"/>
      <c r="J51" s="936"/>
      <c r="K51" s="146"/>
      <c r="L51" s="708"/>
      <c r="M51" s="708"/>
      <c r="N51" s="708"/>
      <c r="O51" s="21">
        <f>IF(H51&gt;=S51,H51-S51,0)</f>
        <v>0</v>
      </c>
      <c r="P51" s="1010"/>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3">
      <c r="B52" s="146" t="s">
        <v>1235</v>
      </c>
      <c r="C52" s="933"/>
      <c r="D52" s="933"/>
      <c r="E52" s="933"/>
      <c r="F52" s="933"/>
      <c r="G52" s="933"/>
      <c r="H52" s="936">
        <f>IF(C52=$X$52,0.02,IF(C52=$Y$52,0.04,IF(C52=$Z$52,0.06,0)))</f>
        <v>0</v>
      </c>
      <c r="I52" s="936"/>
      <c r="J52" s="936"/>
      <c r="K52" s="146"/>
      <c r="L52" s="708"/>
      <c r="M52" s="708"/>
      <c r="N52" s="708"/>
      <c r="O52" s="21">
        <f>IF(H52&gt;=S52,H52-S52,0)</f>
        <v>0</v>
      </c>
      <c r="P52" s="996"/>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3">
      <c r="B53" s="792"/>
      <c r="C53" s="792"/>
      <c r="D53" s="792"/>
      <c r="E53" s="792"/>
      <c r="F53" s="792"/>
      <c r="G53" s="792"/>
      <c r="H53" s="792"/>
      <c r="I53" s="792"/>
      <c r="J53" s="792"/>
      <c r="K53" s="792"/>
      <c r="L53" s="792"/>
      <c r="M53" s="792"/>
      <c r="N53" s="792"/>
      <c r="O53" s="792"/>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3">
      <c r="A54" s="15"/>
      <c r="B54" s="764" t="s">
        <v>1239</v>
      </c>
      <c r="C54" s="766"/>
      <c r="D54" s="1083"/>
      <c r="E54" s="1022"/>
      <c r="F54" s="757" t="s">
        <v>787</v>
      </c>
      <c r="G54" s="758"/>
      <c r="H54" s="758"/>
      <c r="I54" s="758"/>
      <c r="J54" s="758"/>
      <c r="K54" s="758"/>
      <c r="L54" s="758"/>
      <c r="M54" s="758"/>
      <c r="N54" s="758"/>
      <c r="O54" s="759"/>
      <c r="P54" s="248">
        <f>IF(T54=1,0.18,0)</f>
        <v>0</v>
      </c>
      <c r="R54" s="955"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3">
      <c r="B55" s="767"/>
      <c r="C55" s="769"/>
      <c r="D55" s="1083"/>
      <c r="E55" s="1022"/>
      <c r="F55" s="757" t="s">
        <v>788</v>
      </c>
      <c r="G55" s="758"/>
      <c r="H55" s="758"/>
      <c r="I55" s="758"/>
      <c r="J55" s="758"/>
      <c r="K55" s="758"/>
      <c r="L55" s="758"/>
      <c r="M55" s="758"/>
      <c r="N55" s="758"/>
      <c r="O55" s="759"/>
      <c r="P55" s="248">
        <f>IF(T55=1,0.22,0)</f>
        <v>0</v>
      </c>
      <c r="R55" s="927"/>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3">
      <c r="B56" s="712"/>
      <c r="C56" s="712"/>
      <c r="D56" s="712"/>
      <c r="E56" s="712"/>
      <c r="F56" s="712"/>
      <c r="G56" s="712"/>
      <c r="H56" s="712"/>
      <c r="I56" s="712"/>
      <c r="J56" s="712"/>
      <c r="K56" s="712"/>
      <c r="L56" s="712"/>
      <c r="M56" s="712"/>
      <c r="N56" s="712"/>
      <c r="O56" s="712"/>
      <c r="P56" s="712"/>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3">
      <c r="B57" s="932" t="s">
        <v>789</v>
      </c>
      <c r="C57" s="932"/>
      <c r="D57" s="932"/>
      <c r="E57" s="932"/>
      <c r="F57" s="932"/>
      <c r="G57" s="932"/>
      <c r="H57" s="932"/>
      <c r="I57" s="932"/>
      <c r="J57" s="932"/>
      <c r="K57" s="932"/>
      <c r="L57" s="932"/>
      <c r="M57" s="932"/>
      <c r="N57" s="932"/>
      <c r="O57" s="317"/>
      <c r="P57" s="21">
        <f>SUMIF(T57:X57,O57,T58:X58)</f>
        <v>0</v>
      </c>
      <c r="R57" s="951" t="s">
        <v>2196</v>
      </c>
      <c r="S57" s="951"/>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3">
      <c r="B58" s="932" t="s">
        <v>1498</v>
      </c>
      <c r="C58" s="932"/>
      <c r="D58" s="932"/>
      <c r="E58" s="932"/>
      <c r="F58" s="932"/>
      <c r="G58" s="932"/>
      <c r="H58" s="932"/>
      <c r="I58" s="932"/>
      <c r="J58" s="932"/>
      <c r="K58" s="932"/>
      <c r="L58" s="932"/>
      <c r="M58" s="932"/>
      <c r="N58" s="932"/>
      <c r="O58" s="317"/>
      <c r="P58" s="21">
        <f>SUMIF(Z57:AD57,O58,Z58:AD58)</f>
        <v>0</v>
      </c>
      <c r="R58" s="951"/>
      <c r="S58" s="951"/>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3">
      <c r="B59" s="792"/>
      <c r="C59" s="792"/>
      <c r="D59" s="792"/>
      <c r="E59" s="792"/>
      <c r="F59" s="792"/>
      <c r="G59" s="792"/>
      <c r="H59" s="792"/>
      <c r="I59" s="792"/>
      <c r="J59" s="792"/>
      <c r="K59" s="792"/>
      <c r="L59" s="792"/>
      <c r="M59" s="792"/>
      <c r="N59" s="792"/>
      <c r="O59" s="792"/>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3">
      <c r="B60" s="879" t="s">
        <v>800</v>
      </c>
      <c r="C60" s="880"/>
      <c r="D60" s="880"/>
      <c r="E60" s="880"/>
      <c r="F60" s="881"/>
      <c r="G60" s="922" t="s">
        <v>1524</v>
      </c>
      <c r="H60" s="941"/>
      <c r="I60" s="941"/>
      <c r="J60" s="942"/>
      <c r="K60" s="1003"/>
      <c r="L60" s="1004"/>
      <c r="M60" s="1004"/>
      <c r="N60" s="1004"/>
      <c r="O60" s="1005"/>
      <c r="P60" s="872">
        <f>U76</f>
        <v>0</v>
      </c>
      <c r="R60" s="146" t="s">
        <v>1864</v>
      </c>
      <c r="S60" s="50" t="s">
        <v>1304</v>
      </c>
      <c r="T60" s="50" t="s">
        <v>1305</v>
      </c>
      <c r="U60" s="50" t="s">
        <v>1306</v>
      </c>
      <c r="V60" s="940" t="s">
        <v>801</v>
      </c>
      <c r="W60" s="941"/>
      <c r="X60" s="942"/>
      <c r="Y60" s="10"/>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3">
      <c r="B61" s="791" t="s">
        <v>628</v>
      </c>
      <c r="C61" s="791"/>
      <c r="D61" s="791"/>
      <c r="E61" s="996">
        <f>P6</f>
        <v>0</v>
      </c>
      <c r="F61" s="997"/>
      <c r="G61" s="925" t="s">
        <v>1941</v>
      </c>
      <c r="H61" s="925"/>
      <c r="I61" s="949"/>
      <c r="J61" s="949"/>
      <c r="K61" s="1006"/>
      <c r="L61" s="1007"/>
      <c r="M61" s="1007"/>
      <c r="N61" s="1007"/>
      <c r="O61" s="1008"/>
      <c r="P61" s="1010"/>
      <c r="R61" s="557">
        <f>E61</f>
        <v>0</v>
      </c>
      <c r="S61" s="147">
        <f>LARGE($R$61:$R$77,1)</f>
        <v>0</v>
      </c>
      <c r="T61" s="553">
        <f>S61+S62*(1-S61)</f>
        <v>0</v>
      </c>
      <c r="U61" s="557">
        <f t="shared" ref="U61:U76" si="4">ROUND(T61,2)</f>
        <v>0</v>
      </c>
      <c r="V61" s="50">
        <f>IF(E61&gt;0,1,0)</f>
        <v>0</v>
      </c>
      <c r="W61" s="50">
        <f>COUNTIF(V61:V77,1)</f>
        <v>0</v>
      </c>
      <c r="X61" s="50">
        <f>IF(AND(W61=0,W62&gt;0),1,IF(W61&gt;0,2,0))</f>
        <v>0</v>
      </c>
      <c r="Y61" s="792"/>
      <c r="Z61" s="792"/>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3">
      <c r="B62" s="806" t="s">
        <v>802</v>
      </c>
      <c r="C62" s="806"/>
      <c r="D62" s="806"/>
      <c r="E62" s="770">
        <f>P11</f>
        <v>0</v>
      </c>
      <c r="F62" s="746"/>
      <c r="G62" s="925" t="s">
        <v>1941</v>
      </c>
      <c r="H62" s="925"/>
      <c r="I62" s="949"/>
      <c r="J62" s="949"/>
      <c r="K62" s="1006"/>
      <c r="L62" s="1007"/>
      <c r="M62" s="1007"/>
      <c r="N62" s="1007"/>
      <c r="O62" s="1008"/>
      <c r="P62" s="1010"/>
      <c r="R62" s="557">
        <f>E62</f>
        <v>0</v>
      </c>
      <c r="S62" s="147">
        <f>LARGE($R$61:$R$77,2)</f>
        <v>0</v>
      </c>
      <c r="T62" s="553">
        <f>U61+S63*(1-U61)</f>
        <v>0</v>
      </c>
      <c r="U62" s="557">
        <f t="shared" si="4"/>
        <v>0</v>
      </c>
      <c r="V62" s="50">
        <f>IF(E62&gt;0,2,0)</f>
        <v>0</v>
      </c>
      <c r="W62" s="531">
        <f>COUNTIF(V61:V77,2)</f>
        <v>0</v>
      </c>
      <c r="X62" s="10"/>
      <c r="Y62" s="792"/>
      <c r="Z62" s="792"/>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3">
      <c r="B63" s="806" t="s">
        <v>803</v>
      </c>
      <c r="C63" s="806"/>
      <c r="D63" s="806"/>
      <c r="E63" s="770">
        <f>P12</f>
        <v>0</v>
      </c>
      <c r="F63" s="746"/>
      <c r="G63" s="925" t="s">
        <v>1941</v>
      </c>
      <c r="H63" s="925"/>
      <c r="I63" s="949"/>
      <c r="J63" s="949"/>
      <c r="K63" s="1006"/>
      <c r="L63" s="1007"/>
      <c r="M63" s="1007"/>
      <c r="N63" s="1007"/>
      <c r="O63" s="1008"/>
      <c r="P63" s="1010"/>
      <c r="R63" s="557">
        <f>E63</f>
        <v>0</v>
      </c>
      <c r="S63" s="147">
        <f>LARGE($R$61:$R$77,3)</f>
        <v>0</v>
      </c>
      <c r="T63" s="553">
        <f>U62+S64*(1-U62)</f>
        <v>0</v>
      </c>
      <c r="U63" s="557">
        <f t="shared" si="4"/>
        <v>0</v>
      </c>
      <c r="V63" s="50">
        <f>IF(E63&gt;0,2,0)</f>
        <v>0</v>
      </c>
      <c r="W63" s="10"/>
      <c r="X63" s="10"/>
      <c r="Y63" s="792"/>
      <c r="Z63" s="792"/>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3">
      <c r="B64" s="806" t="s">
        <v>804</v>
      </c>
      <c r="C64" s="806"/>
      <c r="D64" s="806"/>
      <c r="E64" s="770">
        <f>P13</f>
        <v>0</v>
      </c>
      <c r="F64" s="746"/>
      <c r="G64" s="925" t="s">
        <v>1941</v>
      </c>
      <c r="H64" s="925"/>
      <c r="I64" s="949"/>
      <c r="J64" s="949"/>
      <c r="K64" s="1006"/>
      <c r="L64" s="1007"/>
      <c r="M64" s="1007"/>
      <c r="N64" s="1007"/>
      <c r="O64" s="1008"/>
      <c r="P64" s="1010"/>
      <c r="R64" s="557">
        <f>E64</f>
        <v>0</v>
      </c>
      <c r="S64" s="147">
        <f>LARGE($R$61:$R$77,4)</f>
        <v>0</v>
      </c>
      <c r="T64" s="553">
        <f t="shared" ref="T64:T76" si="5">U63+S65*(1-U63)</f>
        <v>0</v>
      </c>
      <c r="U64" s="557">
        <f t="shared" si="4"/>
        <v>0</v>
      </c>
      <c r="V64" s="50">
        <f>IF(E64&gt;0,2,0)</f>
        <v>0</v>
      </c>
      <c r="W64" s="10"/>
      <c r="X64" s="10"/>
      <c r="Y64" s="792"/>
      <c r="Z64" s="792"/>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3">
      <c r="B65" s="806" t="s">
        <v>805</v>
      </c>
      <c r="C65" s="806"/>
      <c r="D65" s="806"/>
      <c r="E65" s="770">
        <f>P14</f>
        <v>0</v>
      </c>
      <c r="F65" s="746"/>
      <c r="G65" s="925" t="s">
        <v>1941</v>
      </c>
      <c r="H65" s="925"/>
      <c r="I65" s="949"/>
      <c r="J65" s="949"/>
      <c r="K65" s="1006"/>
      <c r="L65" s="1007"/>
      <c r="M65" s="1007"/>
      <c r="N65" s="1007"/>
      <c r="O65" s="1008"/>
      <c r="P65" s="1010"/>
      <c r="R65" s="557">
        <f>E65</f>
        <v>0</v>
      </c>
      <c r="S65" s="147">
        <f>LARGE($R$61:$R$77,5)</f>
        <v>0</v>
      </c>
      <c r="T65" s="553">
        <f t="shared" si="5"/>
        <v>0</v>
      </c>
      <c r="U65" s="557">
        <f t="shared" si="4"/>
        <v>0</v>
      </c>
      <c r="V65" s="50">
        <f>IF(E65&gt;0,2,0)</f>
        <v>0</v>
      </c>
      <c r="W65" s="10"/>
      <c r="X65" s="10"/>
      <c r="Y65" s="10" t="s">
        <v>511</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3">
      <c r="B66" s="806" t="s">
        <v>1958</v>
      </c>
      <c r="C66" s="806"/>
      <c r="D66" s="806"/>
      <c r="E66" s="770">
        <f>IF(E607&gt;0,0,P16)</f>
        <v>0</v>
      </c>
      <c r="F66" s="746"/>
      <c r="G66" s="1115" t="s">
        <v>2256</v>
      </c>
      <c r="H66" s="1116"/>
      <c r="I66" s="949"/>
      <c r="J66" s="949"/>
      <c r="K66" s="1006"/>
      <c r="L66" s="1007"/>
      <c r="M66" s="1007"/>
      <c r="N66" s="1007"/>
      <c r="O66" s="1008"/>
      <c r="P66" s="1010"/>
      <c r="R66" s="557">
        <f>IF(I66&gt;0,I66,E66)</f>
        <v>0</v>
      </c>
      <c r="S66" s="147">
        <f>LARGE($R$61:$R$77,6)</f>
        <v>0</v>
      </c>
      <c r="T66" s="553">
        <f t="shared" si="5"/>
        <v>0</v>
      </c>
      <c r="U66" s="557">
        <f t="shared" si="4"/>
        <v>0</v>
      </c>
      <c r="V66" s="50">
        <f t="shared" ref="V66:V77" si="6">IF(E66&gt;0,1,0)</f>
        <v>0</v>
      </c>
      <c r="W66" s="10"/>
      <c r="X66" s="10"/>
      <c r="Y66" s="10"/>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3">
      <c r="B67" s="806" t="s">
        <v>1985</v>
      </c>
      <c r="C67" s="806"/>
      <c r="D67" s="806"/>
      <c r="E67" s="770">
        <f>P36</f>
        <v>0</v>
      </c>
      <c r="F67" s="746"/>
      <c r="G67" s="935"/>
      <c r="H67" s="935"/>
      <c r="I67" s="936">
        <f t="shared" ref="I67:I73" si="7">IF(AND(Y67&lt;0.01,Y67&gt;0),0.01,ROUND(Y67,2))</f>
        <v>0</v>
      </c>
      <c r="J67" s="936"/>
      <c r="K67" s="1006"/>
      <c r="L67" s="1007"/>
      <c r="M67" s="1007"/>
      <c r="N67" s="1007"/>
      <c r="O67" s="1008"/>
      <c r="P67" s="1010"/>
      <c r="R67" s="557">
        <f t="shared" ref="R67:R73" si="8">IF(I67&gt;0,I67,E67)</f>
        <v>0</v>
      </c>
      <c r="S67" s="147">
        <f>LARGE($R$61:$R$77,7)</f>
        <v>0</v>
      </c>
      <c r="T67" s="553">
        <f t="shared" si="5"/>
        <v>0</v>
      </c>
      <c r="U67" s="557">
        <f t="shared" si="4"/>
        <v>0</v>
      </c>
      <c r="V67" s="50">
        <f t="shared" si="6"/>
        <v>0</v>
      </c>
      <c r="W67" s="10"/>
      <c r="X67" s="10"/>
      <c r="Y67" s="294">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3">
      <c r="B68" s="806" t="s">
        <v>1226</v>
      </c>
      <c r="C68" s="806"/>
      <c r="D68" s="806"/>
      <c r="E68" s="770">
        <f>P41</f>
        <v>0</v>
      </c>
      <c r="F68" s="746"/>
      <c r="G68" s="935"/>
      <c r="H68" s="935"/>
      <c r="I68" s="936">
        <f t="shared" si="7"/>
        <v>0</v>
      </c>
      <c r="J68" s="936"/>
      <c r="K68" s="1006"/>
      <c r="L68" s="1007"/>
      <c r="M68" s="1007"/>
      <c r="N68" s="1007"/>
      <c r="O68" s="1008"/>
      <c r="P68" s="1010"/>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3">
      <c r="B69" s="806" t="s">
        <v>1416</v>
      </c>
      <c r="C69" s="806"/>
      <c r="D69" s="806"/>
      <c r="E69" s="770">
        <f>P44</f>
        <v>0</v>
      </c>
      <c r="F69" s="770"/>
      <c r="G69" s="935"/>
      <c r="H69" s="935"/>
      <c r="I69" s="936">
        <f t="shared" si="7"/>
        <v>0</v>
      </c>
      <c r="J69" s="936"/>
      <c r="K69" s="1006"/>
      <c r="L69" s="1007"/>
      <c r="M69" s="1007"/>
      <c r="N69" s="1007"/>
      <c r="O69" s="1008"/>
      <c r="P69" s="1010"/>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3">
      <c r="B70" s="757" t="s">
        <v>1417</v>
      </c>
      <c r="C70" s="758"/>
      <c r="D70" s="759"/>
      <c r="E70" s="770">
        <f>P45</f>
        <v>0</v>
      </c>
      <c r="F70" s="770"/>
      <c r="G70" s="935"/>
      <c r="H70" s="935"/>
      <c r="I70" s="936">
        <f t="shared" si="7"/>
        <v>0</v>
      </c>
      <c r="J70" s="936"/>
      <c r="K70" s="633"/>
      <c r="L70" s="634"/>
      <c r="M70" s="634"/>
      <c r="N70" s="634"/>
      <c r="O70" s="635"/>
      <c r="P70" s="1010"/>
      <c r="R70" s="557">
        <f t="shared" si="8"/>
        <v>0</v>
      </c>
      <c r="S70" s="147">
        <f>LARGE($R$61:$R$77,10)</f>
        <v>0</v>
      </c>
      <c r="T70" s="553">
        <f t="shared" si="5"/>
        <v>0</v>
      </c>
      <c r="U70" s="557">
        <f t="shared" si="4"/>
        <v>0</v>
      </c>
      <c r="V70" s="50">
        <f t="shared" si="6"/>
        <v>0</v>
      </c>
      <c r="W70" s="10"/>
      <c r="X70" s="10"/>
      <c r="Y70" s="294">
        <f t="shared" si="9"/>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3">
      <c r="B71" s="757" t="s">
        <v>1418</v>
      </c>
      <c r="C71" s="758"/>
      <c r="D71" s="759"/>
      <c r="E71" s="770">
        <f>P46</f>
        <v>0</v>
      </c>
      <c r="F71" s="770"/>
      <c r="G71" s="935"/>
      <c r="H71" s="935"/>
      <c r="I71" s="936">
        <f t="shared" si="7"/>
        <v>0</v>
      </c>
      <c r="J71" s="936"/>
      <c r="K71" s="633"/>
      <c r="L71" s="634"/>
      <c r="M71" s="634"/>
      <c r="N71" s="634"/>
      <c r="O71" s="635"/>
      <c r="P71" s="1010"/>
      <c r="R71" s="557">
        <f t="shared" si="8"/>
        <v>0</v>
      </c>
      <c r="S71" s="147">
        <f>LARGE($R$61:$R$77,11)</f>
        <v>0</v>
      </c>
      <c r="T71" s="553">
        <f t="shared" si="5"/>
        <v>0</v>
      </c>
      <c r="U71" s="557">
        <f t="shared" si="4"/>
        <v>0</v>
      </c>
      <c r="V71" s="50">
        <f t="shared" si="6"/>
        <v>0</v>
      </c>
      <c r="W71" s="10"/>
      <c r="X71" s="10"/>
      <c r="Y71" s="294">
        <f t="shared" si="9"/>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3">
      <c r="B72" s="757" t="s">
        <v>1419</v>
      </c>
      <c r="C72" s="758"/>
      <c r="D72" s="759"/>
      <c r="E72" s="770">
        <f>P47</f>
        <v>0</v>
      </c>
      <c r="F72" s="770"/>
      <c r="G72" s="935"/>
      <c r="H72" s="935"/>
      <c r="I72" s="936">
        <f t="shared" si="7"/>
        <v>0</v>
      </c>
      <c r="J72" s="936"/>
      <c r="K72" s="633"/>
      <c r="L72" s="634"/>
      <c r="M72" s="634"/>
      <c r="N72" s="634"/>
      <c r="O72" s="635"/>
      <c r="P72" s="1010"/>
      <c r="R72" s="557">
        <f t="shared" si="8"/>
        <v>0</v>
      </c>
      <c r="S72" s="147">
        <f>LARGE($R$61:$R$77,12)</f>
        <v>0</v>
      </c>
      <c r="T72" s="553">
        <f t="shared" si="5"/>
        <v>0</v>
      </c>
      <c r="U72" s="557">
        <f t="shared" si="4"/>
        <v>0</v>
      </c>
      <c r="V72" s="50">
        <f t="shared" si="6"/>
        <v>0</v>
      </c>
      <c r="W72" s="10"/>
      <c r="X72" s="10"/>
      <c r="Y72" s="294">
        <f t="shared" si="9"/>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3">
      <c r="B73" s="806" t="s">
        <v>1232</v>
      </c>
      <c r="C73" s="806"/>
      <c r="D73" s="806"/>
      <c r="E73" s="770">
        <f>P50</f>
        <v>0</v>
      </c>
      <c r="F73" s="746"/>
      <c r="G73" s="935"/>
      <c r="H73" s="935"/>
      <c r="I73" s="936">
        <f t="shared" si="7"/>
        <v>0</v>
      </c>
      <c r="J73" s="936"/>
      <c r="K73" s="972" t="str">
        <f>IF(AND(P16&gt;0,E607&gt;0),"A value has been granted for motor loss. Additional impairment value is not allowed for reduced range of motion in the same extremity.","")</f>
        <v/>
      </c>
      <c r="L73" s="973"/>
      <c r="M73" s="973"/>
      <c r="N73" s="973"/>
      <c r="O73" s="974"/>
      <c r="P73" s="1010"/>
      <c r="R73" s="557">
        <f t="shared" si="8"/>
        <v>0</v>
      </c>
      <c r="S73" s="147">
        <f>LARGE($R$61:$R$77,13)</f>
        <v>0</v>
      </c>
      <c r="T73" s="553">
        <f t="shared" si="5"/>
        <v>0</v>
      </c>
      <c r="U73" s="557">
        <f t="shared" si="4"/>
        <v>0</v>
      </c>
      <c r="V73" s="50">
        <f t="shared" si="6"/>
        <v>0</v>
      </c>
      <c r="W73" s="10"/>
      <c r="X73" s="10"/>
      <c r="Y73" s="294">
        <f t="shared" si="9"/>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3">
      <c r="B74" s="806" t="s">
        <v>806</v>
      </c>
      <c r="C74" s="806"/>
      <c r="D74" s="806"/>
      <c r="E74" s="770">
        <f>P54</f>
        <v>0</v>
      </c>
      <c r="F74" s="746"/>
      <c r="G74" s="925" t="s">
        <v>1941</v>
      </c>
      <c r="H74" s="925"/>
      <c r="I74" s="925"/>
      <c r="J74" s="925"/>
      <c r="K74" s="972"/>
      <c r="L74" s="973"/>
      <c r="M74" s="973"/>
      <c r="N74" s="973"/>
      <c r="O74" s="974"/>
      <c r="P74" s="1010"/>
      <c r="R74" s="557">
        <f>E74</f>
        <v>0</v>
      </c>
      <c r="S74" s="147">
        <f>LARGE($R$61:$R$77,14)</f>
        <v>0</v>
      </c>
      <c r="T74" s="553">
        <f t="shared" si="5"/>
        <v>0</v>
      </c>
      <c r="U74" s="557">
        <f t="shared" si="4"/>
        <v>0</v>
      </c>
      <c r="V74" s="50">
        <f t="shared" si="6"/>
        <v>0</v>
      </c>
      <c r="W74" s="10"/>
      <c r="X74" s="10"/>
      <c r="Y74" s="219"/>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3">
      <c r="B75" s="806" t="s">
        <v>807</v>
      </c>
      <c r="C75" s="806"/>
      <c r="D75" s="806"/>
      <c r="E75" s="770">
        <f>P55</f>
        <v>0</v>
      </c>
      <c r="F75" s="746"/>
      <c r="G75" s="925" t="s">
        <v>1941</v>
      </c>
      <c r="H75" s="925"/>
      <c r="I75" s="925"/>
      <c r="J75" s="925"/>
      <c r="K75" s="972"/>
      <c r="L75" s="973"/>
      <c r="M75" s="973"/>
      <c r="N75" s="973"/>
      <c r="O75" s="974"/>
      <c r="P75" s="1010"/>
      <c r="R75" s="557">
        <f>E75</f>
        <v>0</v>
      </c>
      <c r="S75" s="147">
        <f>LARGE($R$61:$R$77,15)</f>
        <v>0</v>
      </c>
      <c r="T75" s="553">
        <f t="shared" si="5"/>
        <v>0</v>
      </c>
      <c r="U75" s="557">
        <f t="shared" si="4"/>
        <v>0</v>
      </c>
      <c r="V75" s="50">
        <f t="shared" si="6"/>
        <v>0</v>
      </c>
      <c r="W75" s="10"/>
      <c r="X75" s="10"/>
      <c r="Y75" s="219"/>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3">
      <c r="B76" s="806" t="s">
        <v>1446</v>
      </c>
      <c r="C76" s="806"/>
      <c r="D76" s="806"/>
      <c r="E76" s="770">
        <f>P57</f>
        <v>0</v>
      </c>
      <c r="F76" s="746"/>
      <c r="G76" s="935"/>
      <c r="H76" s="935"/>
      <c r="I76" s="936">
        <f>IF(AND(Y76&lt;0.01,Y76&gt;0),0.01,ROUND(Y76,2))</f>
        <v>0</v>
      </c>
      <c r="J76" s="936"/>
      <c r="K76" s="972"/>
      <c r="L76" s="973"/>
      <c r="M76" s="973"/>
      <c r="N76" s="973"/>
      <c r="O76" s="974"/>
      <c r="P76" s="1010"/>
      <c r="R76" s="557">
        <f>IF(I76&gt;0,I76,E76)</f>
        <v>0</v>
      </c>
      <c r="S76" s="147">
        <f>LARGE($R$61:$R$77,16)</f>
        <v>0</v>
      </c>
      <c r="T76" s="553">
        <f t="shared" si="5"/>
        <v>0</v>
      </c>
      <c r="U76" s="557">
        <f t="shared" si="4"/>
        <v>0</v>
      </c>
      <c r="V76" s="50">
        <f t="shared" si="6"/>
        <v>0</v>
      </c>
      <c r="W76" s="10"/>
      <c r="X76" s="10"/>
      <c r="Y76" s="294">
        <f t="shared" ref="Y76:Y77" si="10">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3">
      <c r="B77" s="804" t="s">
        <v>1253</v>
      </c>
      <c r="C77" s="804"/>
      <c r="D77" s="804"/>
      <c r="E77" s="1015">
        <f>P58</f>
        <v>0</v>
      </c>
      <c r="F77" s="873"/>
      <c r="G77" s="1009"/>
      <c r="H77" s="1009"/>
      <c r="I77" s="992">
        <f>IF(AND(Y77&lt;0.01,Y77&gt;0),0.01,ROUND(Y77,2))</f>
        <v>0</v>
      </c>
      <c r="J77" s="992"/>
      <c r="K77" s="975"/>
      <c r="L77" s="976"/>
      <c r="M77" s="976"/>
      <c r="N77" s="976"/>
      <c r="O77" s="977"/>
      <c r="P77" s="1010"/>
      <c r="R77" s="557">
        <f>IF(I77&gt;0,I77,E77)</f>
        <v>0</v>
      </c>
      <c r="S77" s="147">
        <f>LARGE($R$61:$R$77,17)</f>
        <v>0</v>
      </c>
      <c r="T77" s="571"/>
      <c r="U77" s="553"/>
      <c r="V77" s="50">
        <f t="shared" si="6"/>
        <v>0</v>
      </c>
      <c r="W77" s="10"/>
      <c r="X77" s="10"/>
      <c r="Y77" s="294">
        <f t="shared" si="10"/>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3">
      <c r="B78" s="958" t="s">
        <v>1414</v>
      </c>
      <c r="C78" s="958"/>
      <c r="D78" s="958"/>
      <c r="E78" s="958"/>
      <c r="F78" s="958"/>
      <c r="G78" s="958"/>
      <c r="H78" s="958"/>
      <c r="I78" s="958"/>
      <c r="J78" s="958"/>
      <c r="K78" s="958"/>
      <c r="L78" s="958"/>
      <c r="M78" s="958"/>
      <c r="N78" s="958"/>
      <c r="O78" s="958"/>
      <c r="P78" s="996"/>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3">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3">
      <c r="B80" s="878" t="s">
        <v>1415</v>
      </c>
      <c r="C80" s="878"/>
      <c r="D80" s="878"/>
      <c r="E80" s="878"/>
      <c r="F80" s="878"/>
      <c r="G80" s="878"/>
      <c r="H80" s="878"/>
      <c r="I80" s="878"/>
      <c r="J80" s="878"/>
      <c r="K80" s="878"/>
      <c r="L80" s="878"/>
      <c r="M80" s="878"/>
      <c r="N80" s="878"/>
      <c r="O80" s="878"/>
      <c r="P80" s="878"/>
      <c r="R80" s="10"/>
      <c r="S80" s="10"/>
      <c r="T80" s="10"/>
      <c r="U80" s="10"/>
      <c r="V80" s="10"/>
      <c r="W80" s="1165"/>
      <c r="X80" s="1165"/>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3">
      <c r="B81" s="806" t="s">
        <v>1323</v>
      </c>
      <c r="C81" s="806"/>
      <c r="D81" s="806"/>
      <c r="E81" s="806"/>
      <c r="F81" s="806"/>
      <c r="G81" s="806"/>
      <c r="H81" s="806"/>
      <c r="I81" s="806"/>
      <c r="J81" s="806"/>
      <c r="K81" s="806"/>
      <c r="L81" s="806"/>
      <c r="M81" s="806"/>
      <c r="N81" s="806"/>
      <c r="O81" s="806"/>
      <c r="P81" s="936">
        <f>SUMIF(S81:Y81,B82,S82:Y82)</f>
        <v>0</v>
      </c>
      <c r="R81" s="776"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3">
      <c r="B82" s="1014"/>
      <c r="C82" s="1014"/>
      <c r="D82" s="1014"/>
      <c r="E82" s="1014"/>
      <c r="F82" s="1014"/>
      <c r="G82" s="1014"/>
      <c r="H82" s="1014"/>
      <c r="I82" s="1014"/>
      <c r="J82" s="1014"/>
      <c r="K82" s="1014"/>
      <c r="L82" s="1014"/>
      <c r="M82" s="1014"/>
      <c r="N82" s="1014"/>
      <c r="O82" s="1014"/>
      <c r="P82" s="936"/>
      <c r="R82" s="806"/>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3">
      <c r="B83" s="981" t="str">
        <f>IF(AND(P81&gt;0.1,B85=""),"Enter specific level of amputation or shortening below.","")</f>
        <v/>
      </c>
      <c r="C83" s="981"/>
      <c r="D83" s="981"/>
      <c r="E83" s="981"/>
      <c r="F83" s="981"/>
      <c r="G83" s="981"/>
      <c r="H83" s="981"/>
      <c r="I83" s="981"/>
      <c r="J83" s="981"/>
      <c r="K83" s="981"/>
      <c r="L83" s="981"/>
      <c r="M83" s="981"/>
      <c r="N83" s="981"/>
      <c r="O83" s="981"/>
      <c r="P83" s="981"/>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3">
      <c r="B84" s="776" t="s">
        <v>1183</v>
      </c>
      <c r="C84" s="776"/>
      <c r="D84" s="776"/>
      <c r="E84" s="776"/>
      <c r="F84" s="776"/>
      <c r="G84" s="776"/>
      <c r="H84" s="776"/>
      <c r="I84" s="776"/>
      <c r="J84" s="776"/>
      <c r="K84" s="776"/>
      <c r="L84" s="776"/>
      <c r="M84" s="776"/>
      <c r="N84" s="776"/>
      <c r="O84" s="776"/>
      <c r="P84" s="936">
        <f>IF(P81=1,0,U11)</f>
        <v>0</v>
      </c>
      <c r="R84" s="520">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row>
    <row r="85" spans="2:46" ht="15" customHeight="1" x14ac:dyDescent="0.3">
      <c r="B85" s="1014"/>
      <c r="C85" s="1014"/>
      <c r="D85" s="1014"/>
      <c r="E85" s="1014"/>
      <c r="F85" s="1014"/>
      <c r="G85" s="1014"/>
      <c r="H85" s="1014"/>
      <c r="I85" s="1014"/>
      <c r="J85" s="1014"/>
      <c r="K85" s="1014"/>
      <c r="L85" s="1014"/>
      <c r="M85" s="1014"/>
      <c r="N85" s="1014"/>
      <c r="O85" s="1014"/>
      <c r="P85" s="936"/>
      <c r="R85" s="776" t="s">
        <v>679</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3">
      <c r="B86" s="1042" t="s">
        <v>680</v>
      </c>
      <c r="C86" s="1043"/>
      <c r="D86" s="1043"/>
      <c r="E86" s="1043"/>
      <c r="F86" s="1043"/>
      <c r="G86" s="1043"/>
      <c r="H86" s="1043"/>
      <c r="I86" s="1043"/>
      <c r="J86" s="1043"/>
      <c r="K86" s="1043"/>
      <c r="L86" s="1043"/>
      <c r="M86" s="1043"/>
      <c r="N86" s="1043"/>
      <c r="O86" s="1044"/>
      <c r="P86" s="936"/>
      <c r="R86" s="77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3">
      <c r="B87" s="792"/>
      <c r="C87" s="792"/>
      <c r="D87" s="792"/>
      <c r="E87" s="792"/>
      <c r="F87" s="792"/>
      <c r="G87" s="792"/>
      <c r="H87" s="792"/>
      <c r="I87" s="792"/>
      <c r="J87" s="792"/>
      <c r="K87" s="792"/>
      <c r="L87" s="792"/>
      <c r="M87" s="792"/>
      <c r="N87" s="792"/>
      <c r="O87" s="79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3">
      <c r="B88" s="925" t="s">
        <v>1594</v>
      </c>
      <c r="C88" s="925"/>
      <c r="D88" s="925"/>
      <c r="E88" s="925"/>
      <c r="F88" s="925"/>
      <c r="G88" s="925"/>
      <c r="H88" s="925"/>
      <c r="I88" s="925"/>
      <c r="J88" s="925"/>
      <c r="K88" s="925"/>
      <c r="L88" s="925"/>
      <c r="M88" s="925"/>
      <c r="N88" s="925"/>
      <c r="O88" s="925"/>
      <c r="P88" s="770">
        <f>IF(R101=1,"ERROR",IF(AND(AD92&gt;0,AD92&lt;0.01),0.01,ROUND(AD92,2)))</f>
        <v>0</v>
      </c>
      <c r="R88" s="10"/>
      <c r="S88" s="10"/>
      <c r="T88" s="776" t="s">
        <v>1257</v>
      </c>
      <c r="U88" s="776" t="s">
        <v>1257</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3">
      <c r="B89" s="18" t="s">
        <v>1415</v>
      </c>
      <c r="C89" s="925" t="s">
        <v>1595</v>
      </c>
      <c r="D89" s="925"/>
      <c r="E89" s="925"/>
      <c r="F89" s="925"/>
      <c r="G89" s="927" t="s">
        <v>1081</v>
      </c>
      <c r="H89" s="927"/>
      <c r="I89" s="927"/>
      <c r="J89" s="927"/>
      <c r="K89" s="925"/>
      <c r="L89" s="925"/>
      <c r="M89" s="925"/>
      <c r="N89" s="925"/>
      <c r="O89" s="925"/>
      <c r="P89" s="770"/>
      <c r="R89" s="10"/>
      <c r="S89" s="10"/>
      <c r="T89" s="773"/>
      <c r="U89" s="950"/>
      <c r="V89" s="10"/>
      <c r="W89" s="10"/>
      <c r="X89" s="10"/>
      <c r="Y89" s="10"/>
      <c r="Z89" s="10"/>
      <c r="AA89" s="984" t="s">
        <v>2254</v>
      </c>
      <c r="AB89" s="985"/>
      <c r="AC89" s="985"/>
      <c r="AD89" s="986"/>
      <c r="AE89" s="10"/>
      <c r="AF89" s="10"/>
      <c r="AG89" s="10"/>
      <c r="AH89" s="10"/>
      <c r="AI89" s="10"/>
      <c r="AJ89" s="10"/>
      <c r="AK89" s="10"/>
      <c r="AL89" s="10"/>
      <c r="AM89" s="10"/>
      <c r="AN89" s="10"/>
      <c r="AO89" s="10"/>
      <c r="AP89" s="10"/>
      <c r="AQ89" s="10"/>
      <c r="AR89" s="10"/>
      <c r="AS89" s="10"/>
      <c r="AT89" s="10"/>
    </row>
    <row r="90" spans="2:46" ht="18" customHeight="1" x14ac:dyDescent="0.3">
      <c r="B90" s="18"/>
      <c r="C90" s="925" t="s">
        <v>365</v>
      </c>
      <c r="D90" s="925"/>
      <c r="E90" s="925" t="s">
        <v>1795</v>
      </c>
      <c r="F90" s="925"/>
      <c r="G90" s="925" t="s">
        <v>365</v>
      </c>
      <c r="H90" s="925"/>
      <c r="I90" s="925" t="s">
        <v>1795</v>
      </c>
      <c r="J90" s="925"/>
      <c r="K90" s="925"/>
      <c r="L90" s="925"/>
      <c r="M90" s="925"/>
      <c r="N90" s="925"/>
      <c r="O90" s="925"/>
      <c r="P90" s="770"/>
      <c r="R90" s="10"/>
      <c r="S90" s="50" t="s">
        <v>1654</v>
      </c>
      <c r="T90" s="259" t="s">
        <v>1595</v>
      </c>
      <c r="U90" s="259" t="s">
        <v>1596</v>
      </c>
      <c r="V90" s="925" t="s">
        <v>1083</v>
      </c>
      <c r="W90" s="925"/>
      <c r="X90" s="925"/>
      <c r="Y90" s="925"/>
      <c r="AA90" s="987"/>
      <c r="AB90" s="712"/>
      <c r="AC90" s="712"/>
      <c r="AD90" s="988"/>
      <c r="AE90" s="10"/>
      <c r="AF90" s="10"/>
      <c r="AG90" s="10"/>
      <c r="AH90" s="10"/>
      <c r="AI90" s="10"/>
      <c r="AJ90" s="10"/>
      <c r="AK90" s="10"/>
      <c r="AL90" s="10"/>
      <c r="AM90" s="10"/>
      <c r="AN90" s="10"/>
      <c r="AO90" s="10"/>
      <c r="AP90" s="10"/>
      <c r="AQ90" s="10"/>
      <c r="AR90" s="10"/>
      <c r="AS90" s="10"/>
      <c r="AT90" s="10"/>
    </row>
    <row r="91" spans="2:46" ht="13.5" customHeight="1" x14ac:dyDescent="0.3">
      <c r="B91" s="146" t="s">
        <v>681</v>
      </c>
      <c r="C91" s="708"/>
      <c r="D91" s="708"/>
      <c r="E91" s="948">
        <f>UETable!BF12</f>
        <v>0</v>
      </c>
      <c r="F91" s="948"/>
      <c r="G91" s="708"/>
      <c r="H91" s="708"/>
      <c r="I91" s="929">
        <f>IF(C91="",0,IF(OR(C91&lt;=0,G91&lt;=0),E91,IF(G91&lt;C91,0,UETable!BK12)))</f>
        <v>0</v>
      </c>
      <c r="J91" s="929"/>
      <c r="K91" s="946" t="str">
        <f>IF(OR(C91="NA",G91="NA"),"",IF(AND(C91&lt;&gt;"",G91=""),"Enter contralateral or NA.",IF(AND(C91="",G91&lt;&gt;""),"Need data","")))</f>
        <v/>
      </c>
      <c r="L91" s="946"/>
      <c r="M91" s="946"/>
      <c r="N91" s="946"/>
      <c r="O91" s="946"/>
      <c r="P91" s="770"/>
      <c r="R91" s="132"/>
      <c r="S91" s="50">
        <v>70</v>
      </c>
      <c r="T91" s="50" t="str">
        <f>IF(OR(C91="",C91="NA"),"",IF(C91&gt;S91,S91,IF(C91&lt;0,0,C91)))</f>
        <v/>
      </c>
      <c r="U91" s="50" t="str">
        <f>IF(OR(G91="",G91="NA"),"",IF(G91&gt;S91,S91,IF(G91&lt;0,0,G91)))</f>
        <v/>
      </c>
      <c r="V91" s="562" t="str">
        <f>IF(Y91="","",ROUND(Y91,0))</f>
        <v/>
      </c>
      <c r="W91" s="806" t="s">
        <v>1202</v>
      </c>
      <c r="X91" s="806"/>
      <c r="Y91" s="563" t="str">
        <f>IF(T91="","",IF(OR(U91="",U91=0,U91&lt;T91),T91,(T91*70)/U91))</f>
        <v/>
      </c>
      <c r="Z91" s="10"/>
      <c r="AA91" s="989"/>
      <c r="AB91" s="990"/>
      <c r="AC91" s="990"/>
      <c r="AD91" s="991"/>
      <c r="AE91" s="18">
        <f>IF(OR(E93&gt;0,E97&gt;0,E101&gt;0),1,0)</f>
        <v>0</v>
      </c>
      <c r="AF91" s="10"/>
      <c r="AG91" s="10"/>
      <c r="AH91" s="10"/>
      <c r="AI91" s="10"/>
      <c r="AJ91" s="10"/>
      <c r="AK91" s="10"/>
      <c r="AL91" s="10"/>
      <c r="AM91" s="10"/>
      <c r="AN91" s="10"/>
      <c r="AO91" s="10"/>
      <c r="AP91" s="10"/>
      <c r="AQ91" s="10"/>
      <c r="AR91" s="10"/>
      <c r="AS91" s="10"/>
      <c r="AT91" s="10"/>
    </row>
    <row r="92" spans="2:46" ht="13.5" customHeight="1" x14ac:dyDescent="0.3">
      <c r="B92" s="146" t="s">
        <v>682</v>
      </c>
      <c r="C92" s="708"/>
      <c r="D92" s="708"/>
      <c r="E92" s="948">
        <f>UETable!BF13</f>
        <v>0</v>
      </c>
      <c r="F92" s="948"/>
      <c r="G92" s="708"/>
      <c r="H92" s="708"/>
      <c r="I92" s="929">
        <f>IF(C92="",0,IF(OR(C92&gt;=70,G92&gt;=70),E92,IF(G92&gt;C92,0,UETable!BK13)))</f>
        <v>0</v>
      </c>
      <c r="J92" s="929"/>
      <c r="K92" s="946" t="str">
        <f>IF(OR(C92="NA",G92="NA"),"",IF(AND(C92&lt;&gt;"",G92=""),"Enter contralateral or NA.",IF(AND(C92="",G92&lt;&gt;""),"Need data","")))</f>
        <v/>
      </c>
      <c r="L92" s="946"/>
      <c r="M92" s="946"/>
      <c r="N92" s="946"/>
      <c r="O92" s="946"/>
      <c r="P92" s="77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IF(E93&gt;0,O94,IF(AND(E93=0,AE91=1,O94&gt;0,C103&gt;0),C103*O94,O94))</f>
        <v>0</v>
      </c>
      <c r="AB92" s="194">
        <f>IF(E97&gt;0,O98,IF(AND(E97=0,AE91=1,O98&gt;0,C103&gt;0),C103*O98,O98))</f>
        <v>0</v>
      </c>
      <c r="AC92" s="638">
        <f>IF(E101&gt;0,O102,IF(AND(E101=0,AE91=1,O102&gt;0,C103&gt;0),C103*O102,O102))</f>
        <v>0</v>
      </c>
      <c r="AD92" s="194">
        <f>IF(AND(AE91=0,C103&gt;0),C103*AD100,AD100)</f>
        <v>0</v>
      </c>
      <c r="AE92" s="18">
        <f>IF(AD95=AD96,1,0)</f>
        <v>1</v>
      </c>
      <c r="AF92" s="10"/>
      <c r="AG92" s="10"/>
      <c r="AH92" s="10"/>
      <c r="AI92" s="10"/>
      <c r="AJ92" s="10"/>
      <c r="AK92" s="10"/>
      <c r="AL92" s="10"/>
      <c r="AM92" s="10"/>
      <c r="AN92" s="10"/>
      <c r="AO92" s="10"/>
      <c r="AP92" s="10"/>
      <c r="AQ92" s="10"/>
      <c r="AR92" s="10"/>
      <c r="AS92" s="10"/>
      <c r="AT92" s="10"/>
    </row>
    <row r="93" spans="2:46" ht="15" customHeight="1" x14ac:dyDescent="0.3">
      <c r="B93" s="146" t="s">
        <v>683</v>
      </c>
      <c r="C93" s="708"/>
      <c r="D93" s="708"/>
      <c r="E93" s="948">
        <f>IF(AND(C93&lt;&gt;"",C93&lt;&gt;"NA",C92&lt;&gt;"NA",C92&lt;&gt;""),"ERROR",IF(AND(C93&lt;&gt;"",C93&lt;&gt;"NA",C91&lt;&gt;"",C91&lt;&gt;"NA"),"ERROR",UETable!BF14))</f>
        <v>0</v>
      </c>
      <c r="F93" s="948"/>
      <c r="G93" s="946" t="str">
        <f>IF(AND(C93&lt;&gt;"",C93&lt;&gt;"NA",C92&lt;&gt;"NA",C92&lt;&gt;""),"ERROR: Cannot rate ROM and ankylosis.",IF(AND(C93&lt;&gt;"",C93&lt;&gt;"NA",C91&lt;&gt;"",C91&lt;&gt;"NA"),"ERROR: Cannot rate ROM and ankylosis.",""))</f>
        <v/>
      </c>
      <c r="H93" s="946"/>
      <c r="I93" s="946"/>
      <c r="J93" s="946"/>
      <c r="K93" s="946"/>
      <c r="L93" s="946"/>
      <c r="M93" s="946"/>
      <c r="N93" s="946"/>
      <c r="O93" s="946"/>
      <c r="P93" s="770"/>
      <c r="R93" s="132"/>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row>
    <row r="94" spans="2:46" x14ac:dyDescent="0.3">
      <c r="B94" s="993"/>
      <c r="C94" s="994"/>
      <c r="D94" s="994"/>
      <c r="E94" s="994"/>
      <c r="F94" s="994"/>
      <c r="G94" s="994"/>
      <c r="H94" s="994"/>
      <c r="I94" s="994"/>
      <c r="J94" s="995"/>
      <c r="K94" s="958" t="s">
        <v>1841</v>
      </c>
      <c r="L94" s="958"/>
      <c r="M94" s="958"/>
      <c r="N94" s="958"/>
      <c r="O94" s="65">
        <f>IF(E93="ERROR","ERROR",IF(R94&gt;1,1,R94))</f>
        <v>0</v>
      </c>
      <c r="P94" s="77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3">
      <c r="B95" s="146" t="s">
        <v>684</v>
      </c>
      <c r="C95" s="708"/>
      <c r="D95" s="708"/>
      <c r="E95" s="948">
        <f>UETable!BF16</f>
        <v>0</v>
      </c>
      <c r="F95" s="948"/>
      <c r="G95" s="708"/>
      <c r="H95" s="708"/>
      <c r="I95" s="929">
        <f>IF(C95="",0,IF(OR(C95&lt;=0,G95&lt;=0),E95,IF(G95&lt;C95,0,UETable!BK16)))</f>
        <v>0</v>
      </c>
      <c r="J95" s="929"/>
      <c r="K95" s="946" t="str">
        <f>IF(OR(C95="NA",G95="NA"),"",IF(AND(C95&lt;&gt;"",G95=""),"Enter contralateral or NA.",IF(AND(C95="",G95&lt;&gt;""),"Need data","")))</f>
        <v/>
      </c>
      <c r="L95" s="946"/>
      <c r="M95" s="946"/>
      <c r="N95" s="946"/>
      <c r="O95" s="946"/>
      <c r="P95" s="770"/>
      <c r="R95" s="10"/>
      <c r="S95" s="50">
        <v>100</v>
      </c>
      <c r="T95" s="50" t="str">
        <f>IF(OR(C95="",C95="NA"),"",IF(C95&gt;S95,S95,IF(C95&lt;0,0,C95)))</f>
        <v/>
      </c>
      <c r="U95" s="50" t="str">
        <f>IF(OR(G95="",G95="NA"),"",IF(G95&gt;S95,S95,IF(G95&lt;0,0,G95)))</f>
        <v/>
      </c>
      <c r="V95" s="562" t="str">
        <f>IF(Y95="","",ROUND(Y95,0))</f>
        <v/>
      </c>
      <c r="W95" s="806" t="s">
        <v>1202</v>
      </c>
      <c r="X95" s="806"/>
      <c r="Y95" s="563" t="str">
        <f>IF(T95="","",IF(OR(U95="",U95=0,U95&lt;T95),T95,(T95*100)/U95))</f>
        <v/>
      </c>
      <c r="Z95" s="10"/>
      <c r="AA95" s="193">
        <f>E93</f>
        <v>0</v>
      </c>
      <c r="AB95" s="193">
        <f>E97</f>
        <v>0</v>
      </c>
      <c r="AC95" s="193">
        <f>E101</f>
        <v>0</v>
      </c>
      <c r="AD95" s="18">
        <f>COUNTIF(AA95:AC95,"&gt;0")</f>
        <v>0</v>
      </c>
      <c r="AE95" s="10"/>
      <c r="AF95" s="10"/>
      <c r="AG95" s="10"/>
      <c r="AH95" s="10"/>
      <c r="AI95" s="10"/>
      <c r="AJ95" s="10"/>
      <c r="AK95" s="10"/>
      <c r="AL95" s="10"/>
      <c r="AM95" s="10"/>
      <c r="AN95" s="10"/>
      <c r="AO95" s="10"/>
      <c r="AP95" s="10"/>
      <c r="AQ95" s="10"/>
      <c r="AR95" s="10"/>
      <c r="AS95" s="10"/>
      <c r="AT95" s="10"/>
    </row>
    <row r="96" spans="2:46" ht="13.5" customHeight="1" x14ac:dyDescent="0.3">
      <c r="B96" s="146" t="s">
        <v>685</v>
      </c>
      <c r="C96" s="708"/>
      <c r="D96" s="708"/>
      <c r="E96" s="948">
        <f>UETable!BF17</f>
        <v>0</v>
      </c>
      <c r="F96" s="948"/>
      <c r="G96" s="708"/>
      <c r="H96" s="708"/>
      <c r="I96" s="929">
        <f>IF(C96="",0,IF(OR(C96&gt;=100,G96&gt;=100),E96,IF(G96&gt;C96,0,UETable!BK17)))</f>
        <v>0</v>
      </c>
      <c r="J96" s="929"/>
      <c r="K96" s="946" t="str">
        <f>IF(OR(C96="NA",G96="NA"),"",IF(AND(C96&lt;&gt;"",G96=""),"Enter contralateral or NA.",IF(AND(C96="",G96&lt;&gt;""),"Need data","")))</f>
        <v/>
      </c>
      <c r="L96" s="946"/>
      <c r="M96" s="946"/>
      <c r="N96" s="946"/>
      <c r="O96" s="946"/>
      <c r="P96" s="77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93">
        <f>O94</f>
        <v>0</v>
      </c>
      <c r="AB96" s="193">
        <f>O98</f>
        <v>0</v>
      </c>
      <c r="AC96" s="193">
        <f>O102</f>
        <v>0</v>
      </c>
      <c r="AD96" s="18">
        <f>COUNTIF(AA96:AC96,"&gt;0")</f>
        <v>0</v>
      </c>
      <c r="AE96" s="10"/>
      <c r="AF96" s="10"/>
      <c r="AG96" s="10"/>
      <c r="AH96" s="10"/>
      <c r="AI96" s="10"/>
      <c r="AJ96" s="10"/>
      <c r="AK96" s="10"/>
      <c r="AL96" s="10"/>
      <c r="AM96" s="10"/>
      <c r="AN96" s="10"/>
      <c r="AO96" s="10"/>
      <c r="AP96" s="10"/>
      <c r="AQ96" s="10"/>
      <c r="AR96" s="10"/>
      <c r="AS96" s="10"/>
      <c r="AT96" s="10"/>
    </row>
    <row r="97" spans="1:109" ht="15" customHeight="1" x14ac:dyDescent="0.3">
      <c r="B97" s="146" t="s">
        <v>686</v>
      </c>
      <c r="C97" s="708"/>
      <c r="D97" s="708"/>
      <c r="E97" s="948">
        <f>IF(AND(C97&lt;&gt;"",C97&lt;&gt;"NA",C96&lt;&gt;"NA",C96&lt;&gt;""),"ERROR",IF(AND(C97&lt;&gt;"",C97&lt;&gt;"NA",C95&lt;&gt;"",C95&lt;&gt;"NA"),"ERROR",UETable!BF18))</f>
        <v>0</v>
      </c>
      <c r="F97" s="948"/>
      <c r="G97" s="946" t="str">
        <f>IF(AND(C97&lt;&gt;"",C97&lt;&gt;"NA",C96&lt;&gt;"NA",C96&lt;&gt;""),"ERROR: Cannot rate ROM and ankylosis.",IF(AND(C97&lt;&gt;"",C97&lt;&gt;"NA",C95&lt;&gt;"",C95&lt;&gt;"NA"),"ERROR: Cannot rate ROM and ankylosis.",""))</f>
        <v/>
      </c>
      <c r="H97" s="946"/>
      <c r="I97" s="946"/>
      <c r="J97" s="946"/>
      <c r="K97" s="946"/>
      <c r="L97" s="946"/>
      <c r="M97" s="946"/>
      <c r="N97" s="946"/>
      <c r="O97" s="946"/>
      <c r="P97" s="77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3">
      <c r="B98" s="993"/>
      <c r="C98" s="994"/>
      <c r="D98" s="994"/>
      <c r="E98" s="994"/>
      <c r="F98" s="994"/>
      <c r="G98" s="994"/>
      <c r="H98" s="994"/>
      <c r="I98" s="994"/>
      <c r="J98" s="995"/>
      <c r="K98" s="958" t="s">
        <v>1841</v>
      </c>
      <c r="L98" s="958"/>
      <c r="M98" s="958"/>
      <c r="N98" s="958"/>
      <c r="O98" s="65">
        <f>IF(E97="ERROR","ERROR",IF(R98&gt;1,1,R98))</f>
        <v>0</v>
      </c>
      <c r="P98" s="77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row>
    <row r="99" spans="1:109" ht="13.5" customHeight="1" x14ac:dyDescent="0.3">
      <c r="B99" s="146" t="s">
        <v>1577</v>
      </c>
      <c r="C99" s="708"/>
      <c r="D99" s="708"/>
      <c r="E99" s="948">
        <f>UETable!BF20</f>
        <v>0</v>
      </c>
      <c r="F99" s="948"/>
      <c r="G99" s="708"/>
      <c r="H99" s="708"/>
      <c r="I99" s="929">
        <f>IF(C99="",0,IF(OR(C99&lt;=0,G99&lt;=0),E99,IF(G99&lt;C99,0,UETable!BK20)))</f>
        <v>0</v>
      </c>
      <c r="J99" s="929"/>
      <c r="K99" s="946" t="str">
        <f>IF(OR(C99="NA",G99="NA"),"",IF(AND(C99&lt;&gt;"",G99=""),"Enter contralateral or NA.",IF(AND(C99="",G99&lt;&gt;""),"Need data","")))</f>
        <v/>
      </c>
      <c r="L99" s="946"/>
      <c r="M99" s="946"/>
      <c r="N99" s="946"/>
      <c r="O99" s="946"/>
      <c r="P99" s="770"/>
      <c r="R99" s="10"/>
      <c r="S99" s="50">
        <v>90</v>
      </c>
      <c r="T99" s="50" t="str">
        <f>IF(OR(C99="",C99="NA"),"",IF(C99&gt;S99,S99,IF(C99&lt;0,0,C99)))</f>
        <v/>
      </c>
      <c r="U99" s="50" t="str">
        <f>IF(OR(G99="",G99="NA"),"",IF(G99&gt;S99,S99,IF(G99&lt;0,0,G99)))</f>
        <v/>
      </c>
      <c r="V99" s="562" t="str">
        <f>IF(Y99="","",ROUND(Y99,0))</f>
        <v/>
      </c>
      <c r="W99" s="806" t="s">
        <v>1202</v>
      </c>
      <c r="X99" s="806"/>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row>
    <row r="100" spans="1:109" ht="13.5" customHeight="1" x14ac:dyDescent="0.3">
      <c r="B100" s="146" t="s">
        <v>1578</v>
      </c>
      <c r="C100" s="708"/>
      <c r="D100" s="708"/>
      <c r="E100" s="948">
        <f>UETable!BF21</f>
        <v>0</v>
      </c>
      <c r="F100" s="948"/>
      <c r="G100" s="708"/>
      <c r="H100" s="708"/>
      <c r="I100" s="929">
        <f>IF(C100="",0,IF(OR(C100&gt;=90,G100&gt;=90),E100,IF(G100&gt;C100,0,UETable!BK21)))</f>
        <v>0</v>
      </c>
      <c r="J100" s="929"/>
      <c r="K100" s="946" t="str">
        <f>IF(OR(C100="NA",G100="NA"),"",IF(AND(C100&lt;&gt;"",G100=""),"Enter contralateral or NA.",IF(AND(C100="",G100&lt;&gt;""),"Need data","")))</f>
        <v/>
      </c>
      <c r="L100" s="946"/>
      <c r="M100" s="946"/>
      <c r="N100" s="946"/>
      <c r="O100" s="946"/>
      <c r="P100" s="770"/>
      <c r="R100" s="10"/>
      <c r="S100" s="50">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3">
      <c r="B101" s="146" t="s">
        <v>643</v>
      </c>
      <c r="C101" s="708"/>
      <c r="D101" s="708"/>
      <c r="E101" s="948">
        <f>IF(AND(C101&lt;&gt;"",C101&lt;&gt;"NA",C100&lt;&gt;"NA",C100&lt;&gt;""),"ERROR",IF(AND(C101&lt;&gt;"",C101&lt;&gt;"NA",C99&lt;&gt;"",C99&lt;&gt;"NA"),"ERROR",UETable!BF22))</f>
        <v>0</v>
      </c>
      <c r="F101" s="948"/>
      <c r="G101" s="946" t="str">
        <f>IF(AND(C101&lt;&gt;"",C101&lt;&gt;"NA",C100&lt;&gt;"NA",C100&lt;&gt;""),"ERROR: Cannot rate ROM and ankylosis.",IF(AND(C101&lt;&gt;"",C101&lt;&gt;"NA",C99&lt;&gt;"",C99&lt;&gt;"NA"),"ERROR: Cannot rate ROM and ankylosis.",""))</f>
        <v/>
      </c>
      <c r="H101" s="946"/>
      <c r="I101" s="946"/>
      <c r="J101" s="946"/>
      <c r="K101" s="946"/>
      <c r="L101" s="946"/>
      <c r="M101" s="946"/>
      <c r="N101" s="946"/>
      <c r="O101" s="946"/>
      <c r="P101" s="770"/>
      <c r="R101" s="50">
        <f>IF(OR(O94="ERROR",O98="ERROR",O102="ERROR"),1,0)</f>
        <v>0</v>
      </c>
      <c r="S101" s="531">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3">
      <c r="B102" s="636"/>
      <c r="C102" s="637"/>
      <c r="D102" s="637"/>
      <c r="E102" s="1138" t="str">
        <f>IF(AND(OR(E93&gt;0,E97&gt;0,E101&gt;0),C103&gt;0),"Note: Ankylosis is not apportioned.","")</f>
        <v/>
      </c>
      <c r="F102" s="1138"/>
      <c r="G102" s="1138"/>
      <c r="H102" s="1138"/>
      <c r="I102" s="1138"/>
      <c r="J102" s="958" t="s">
        <v>1841</v>
      </c>
      <c r="K102" s="958"/>
      <c r="L102" s="958"/>
      <c r="M102" s="958"/>
      <c r="N102" s="958"/>
      <c r="O102" s="65">
        <f>IF(E101="ERROR","ERROR",IF(R102&gt;1,1,R102))</f>
        <v>0</v>
      </c>
      <c r="P102" s="770"/>
      <c r="R102" s="194">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3">
      <c r="B103" s="13" t="s">
        <v>2255</v>
      </c>
      <c r="C103" s="935"/>
      <c r="D103" s="960"/>
      <c r="E103" s="1138"/>
      <c r="F103" s="1138"/>
      <c r="G103" s="1138"/>
      <c r="H103" s="1138"/>
      <c r="I103" s="1138"/>
      <c r="J103" s="958" t="s">
        <v>1624</v>
      </c>
      <c r="K103" s="958"/>
      <c r="L103" s="958"/>
      <c r="M103" s="958"/>
      <c r="N103" s="958"/>
      <c r="O103" s="958"/>
      <c r="P103" s="77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3">
      <c r="B104" s="792"/>
      <c r="C104" s="792"/>
      <c r="D104" s="792"/>
      <c r="E104" s="792"/>
      <c r="F104" s="792"/>
      <c r="G104" s="792"/>
      <c r="H104" s="792"/>
      <c r="I104" s="792"/>
      <c r="J104" s="792"/>
      <c r="K104" s="792"/>
      <c r="L104" s="792"/>
      <c r="M104" s="792"/>
      <c r="N104" s="792"/>
      <c r="O104" s="792"/>
      <c r="P104" s="792"/>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3">
      <c r="B105" s="792"/>
      <c r="C105" s="792"/>
      <c r="D105" s="792"/>
      <c r="E105" s="792"/>
      <c r="F105" s="792"/>
      <c r="G105" s="792"/>
      <c r="H105" s="792"/>
      <c r="I105" s="792"/>
      <c r="J105" s="792"/>
      <c r="K105" s="792"/>
      <c r="L105" s="792"/>
      <c r="M105" s="792"/>
      <c r="N105" s="792"/>
      <c r="O105" s="792"/>
      <c r="R105" s="10"/>
      <c r="S105" s="878" t="s">
        <v>2196</v>
      </c>
      <c r="T105" s="878"/>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3">
      <c r="A106" s="15"/>
      <c r="B106" s="964" t="s">
        <v>967</v>
      </c>
      <c r="C106" s="965"/>
      <c r="D106" s="934"/>
      <c r="E106" s="934"/>
      <c r="F106" s="971" t="s">
        <v>1228</v>
      </c>
      <c r="G106" s="971"/>
      <c r="H106" s="971"/>
      <c r="I106" s="971"/>
      <c r="J106" s="971"/>
      <c r="K106" s="971"/>
      <c r="L106" s="971"/>
      <c r="M106" s="971"/>
      <c r="N106" s="971"/>
      <c r="O106" s="971"/>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3">
      <c r="B107" s="966"/>
      <c r="C107" s="967"/>
      <c r="D107" s="934"/>
      <c r="E107" s="934"/>
      <c r="F107" s="971" t="s">
        <v>1230</v>
      </c>
      <c r="G107" s="971"/>
      <c r="H107" s="971"/>
      <c r="I107" s="971"/>
      <c r="J107" s="971"/>
      <c r="K107" s="971"/>
      <c r="L107" s="971"/>
      <c r="M107" s="971"/>
      <c r="N107" s="971"/>
      <c r="O107" s="971"/>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3">
      <c r="B108" s="966"/>
      <c r="C108" s="967"/>
      <c r="D108" s="934"/>
      <c r="E108" s="934"/>
      <c r="F108" s="971" t="s">
        <v>1229</v>
      </c>
      <c r="G108" s="971"/>
      <c r="H108" s="971"/>
      <c r="I108" s="971"/>
      <c r="J108" s="971"/>
      <c r="K108" s="971"/>
      <c r="L108" s="971"/>
      <c r="M108" s="971"/>
      <c r="N108" s="971"/>
      <c r="O108" s="971"/>
      <c r="P108" s="82">
        <f>IF(T108=1,0.1,0)</f>
        <v>0</v>
      </c>
      <c r="R108" s="10"/>
      <c r="S108" s="555" t="b">
        <v>0</v>
      </c>
      <c r="T108" s="50">
        <f>IF(S108=TRUE,1,0)</f>
        <v>0</v>
      </c>
      <c r="U108" s="10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3">
      <c r="B109" s="968"/>
      <c r="C109" s="969"/>
      <c r="D109" s="934"/>
      <c r="E109" s="934"/>
      <c r="F109" s="971" t="s">
        <v>1231</v>
      </c>
      <c r="G109" s="971"/>
      <c r="H109" s="971"/>
      <c r="I109" s="971"/>
      <c r="J109" s="971"/>
      <c r="K109" s="971"/>
      <c r="L109" s="971"/>
      <c r="M109" s="971"/>
      <c r="N109" s="971"/>
      <c r="O109" s="971"/>
      <c r="P109" s="82">
        <f>IF(T109=1,0.1,0)</f>
        <v>0</v>
      </c>
      <c r="R109" s="10"/>
      <c r="S109" s="555" t="b">
        <v>0</v>
      </c>
      <c r="T109" s="50">
        <f>IF(S109=TRUE,1,0)</f>
        <v>0</v>
      </c>
      <c r="U109" s="10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3">
      <c r="B110" s="792"/>
      <c r="C110" s="792"/>
      <c r="D110" s="792"/>
      <c r="E110" s="792"/>
      <c r="F110" s="792"/>
      <c r="G110" s="792"/>
      <c r="H110" s="792"/>
      <c r="I110" s="792"/>
      <c r="J110" s="792"/>
      <c r="K110" s="792"/>
      <c r="L110" s="792"/>
      <c r="M110" s="792"/>
      <c r="N110" s="792"/>
      <c r="O110" s="792"/>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3">
      <c r="B111" s="485"/>
      <c r="C111" s="1012" t="s">
        <v>248</v>
      </c>
      <c r="D111" s="983"/>
      <c r="E111" s="982" t="s">
        <v>249</v>
      </c>
      <c r="F111" s="983"/>
      <c r="G111" s="355"/>
      <c r="H111" s="357"/>
      <c r="I111" s="1011" t="s">
        <v>250</v>
      </c>
      <c r="J111" s="983"/>
      <c r="K111" s="477"/>
      <c r="L111" s="357"/>
      <c r="M111" s="982" t="s">
        <v>249</v>
      </c>
      <c r="N111" s="983"/>
      <c r="O111" s="356"/>
      <c r="P111" s="492"/>
      <c r="Z111" s="482"/>
      <c r="AE111" s="481"/>
      <c r="AF111" s="481"/>
      <c r="AG111" s="481"/>
      <c r="AH111" s="481"/>
      <c r="AI111" s="481"/>
      <c r="AJ111" s="481"/>
      <c r="AK111" s="481"/>
      <c r="AL111" s="481"/>
      <c r="AM111" s="481"/>
      <c r="AN111" s="481"/>
    </row>
    <row r="112" spans="1:109" ht="12" customHeight="1" x14ac:dyDescent="0.3">
      <c r="B112" s="486"/>
      <c r="C112" s="970" t="s">
        <v>251</v>
      </c>
      <c r="D112" s="963"/>
      <c r="E112" s="970" t="s">
        <v>252</v>
      </c>
      <c r="F112" s="963"/>
      <c r="G112" s="970" t="s">
        <v>253</v>
      </c>
      <c r="H112" s="963"/>
      <c r="I112" s="962" t="s">
        <v>254</v>
      </c>
      <c r="J112" s="963"/>
      <c r="K112" s="970" t="s">
        <v>255</v>
      </c>
      <c r="L112" s="963"/>
      <c r="M112" s="970" t="s">
        <v>256</v>
      </c>
      <c r="N112" s="963"/>
      <c r="P112" s="493"/>
      <c r="Z112" s="332"/>
      <c r="AE112" s="481"/>
      <c r="AF112" s="481"/>
      <c r="AG112" s="481"/>
      <c r="AH112" s="481"/>
      <c r="AI112" s="481"/>
      <c r="AJ112" s="481"/>
      <c r="AK112" s="481"/>
      <c r="AL112" s="481"/>
      <c r="AM112" s="481"/>
      <c r="AN112" s="481"/>
    </row>
    <row r="113" spans="2:79" ht="12" customHeight="1" x14ac:dyDescent="0.3">
      <c r="B113" s="486"/>
      <c r="C113" s="943" t="s">
        <v>257</v>
      </c>
      <c r="D113" s="944"/>
      <c r="E113" s="943" t="s">
        <v>258</v>
      </c>
      <c r="F113" s="944"/>
      <c r="G113" s="943" t="s">
        <v>259</v>
      </c>
      <c r="H113" s="944"/>
      <c r="I113" s="1013" t="s">
        <v>260</v>
      </c>
      <c r="J113" s="944"/>
      <c r="K113" s="943" t="s">
        <v>259</v>
      </c>
      <c r="L113" s="944"/>
      <c r="M113" s="943" t="s">
        <v>258</v>
      </c>
      <c r="N113" s="944"/>
      <c r="P113" s="493"/>
      <c r="AH113" s="146">
        <v>1</v>
      </c>
      <c r="AI113" s="146">
        <v>2</v>
      </c>
      <c r="AJ113" s="146">
        <v>3</v>
      </c>
      <c r="AK113" s="146">
        <v>4</v>
      </c>
      <c r="AM113" s="481"/>
      <c r="AN113" s="481"/>
      <c r="AO113" s="481"/>
      <c r="AP113" s="481"/>
      <c r="AQ113" s="481"/>
      <c r="AR113" s="481"/>
      <c r="AS113" s="481"/>
      <c r="AT113" s="481"/>
      <c r="AU113" s="481"/>
      <c r="AV113" s="481"/>
    </row>
    <row r="114" spans="2:79" ht="12" customHeight="1" x14ac:dyDescent="0.3">
      <c r="B114" s="548" t="s">
        <v>1985</v>
      </c>
      <c r="C114" s="1001" t="s">
        <v>261</v>
      </c>
      <c r="D114" s="1002"/>
      <c r="E114" s="1001" t="s">
        <v>261</v>
      </c>
      <c r="F114" s="1002"/>
      <c r="G114" s="1001" t="s">
        <v>261</v>
      </c>
      <c r="H114" s="1002"/>
      <c r="I114" s="1001" t="s">
        <v>261</v>
      </c>
      <c r="J114" s="1002"/>
      <c r="K114" s="1001" t="s">
        <v>261</v>
      </c>
      <c r="L114" s="1002"/>
      <c r="M114" s="1001" t="s">
        <v>261</v>
      </c>
      <c r="N114" s="1002"/>
      <c r="P114" s="493"/>
      <c r="S114" s="907" t="s">
        <v>2196</v>
      </c>
      <c r="T114" s="908"/>
      <c r="U114" s="908"/>
      <c r="V114" s="908"/>
      <c r="W114" s="908"/>
      <c r="X114" s="909"/>
      <c r="Y114" s="480"/>
      <c r="Z114" s="480"/>
      <c r="AA114" s="952" t="s">
        <v>2196</v>
      </c>
      <c r="AB114" s="953"/>
      <c r="AC114" s="953"/>
      <c r="AD114" s="953"/>
      <c r="AE114" s="953"/>
      <c r="AF114" s="954"/>
      <c r="AG114" s="480"/>
      <c r="AH114" s="910" t="s">
        <v>2196</v>
      </c>
      <c r="AI114" s="911"/>
      <c r="AJ114" s="911"/>
      <c r="AK114" s="911"/>
      <c r="AL114" s="911"/>
      <c r="AM114" s="912"/>
      <c r="AO114" s="907" t="s">
        <v>2196</v>
      </c>
      <c r="AP114" s="908"/>
      <c r="AQ114" s="908"/>
      <c r="AR114" s="908"/>
      <c r="AS114" s="909"/>
      <c r="AU114" s="907" t="s">
        <v>2196</v>
      </c>
      <c r="AV114" s="908"/>
      <c r="AW114" s="908"/>
      <c r="AX114" s="909"/>
      <c r="AZ114" s="907" t="s">
        <v>2196</v>
      </c>
      <c r="BA114" s="908"/>
      <c r="BB114" s="908"/>
      <c r="BC114" s="908"/>
      <c r="BD114" s="908"/>
      <c r="BE114" s="908"/>
      <c r="BF114" s="908"/>
      <c r="BG114" s="909"/>
      <c r="BI114" s="907" t="s">
        <v>2196</v>
      </c>
      <c r="BJ114" s="908"/>
      <c r="BK114" s="908"/>
      <c r="BL114" s="908"/>
      <c r="BM114" s="908"/>
      <c r="BN114" s="909"/>
    </row>
    <row r="115" spans="2:79" customFormat="1" ht="15" customHeight="1" x14ac:dyDescent="0.3">
      <c r="B115" s="146" t="s">
        <v>1605</v>
      </c>
      <c r="C115" s="945"/>
      <c r="D115" s="945"/>
      <c r="E115" s="945"/>
      <c r="F115" s="945"/>
      <c r="G115" s="945"/>
      <c r="H115" s="945"/>
      <c r="I115" s="945"/>
      <c r="J115" s="945"/>
      <c r="K115" s="945"/>
      <c r="L115" s="945"/>
      <c r="M115" s="945"/>
      <c r="N115" s="945"/>
      <c r="P115" s="494"/>
      <c r="S115" s="304">
        <f>IF(C115="",0,C115)</f>
        <v>0</v>
      </c>
      <c r="T115" s="304">
        <f>IF(AND(E115&lt;&gt;C115,E115&lt;&gt;""),E115,IF(OR(E116&lt;&gt;"",E117&lt;&gt;""),0,S115))</f>
        <v>0</v>
      </c>
      <c r="U115" s="304">
        <f>IF(AND(G115&lt;&gt;E115,G115&lt;&gt;""),G115,IF(OR(G116&lt;&gt;"",G117&lt;&gt;""),0,T115))</f>
        <v>0</v>
      </c>
      <c r="V115" s="304">
        <f>IF(AND(I115&lt;&gt;G115,I115&lt;&gt;""),I115,IF(OR(I116&lt;&gt;"",I117&lt;&gt;""),0,U115))</f>
        <v>0</v>
      </c>
      <c r="W115" s="304">
        <f>IF(AND(K115&lt;&gt;I115,K115&lt;&gt;""),K115,IF(OR(K116&lt;&gt;"",K117&lt;&gt;""),0,V115))</f>
        <v>0</v>
      </c>
      <c r="X115" s="304">
        <f>IF(AND(M115&lt;&gt;K115,M115&lt;&gt;""),M115,IF(OR(M116&lt;&gt;"",M117&lt;&gt;""),0,W115))</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483">
        <f>IF(S115=1,0,IF(S115=2,0.17,IF(S115=3,0.25,IF(S115=4,0.33,0))))</f>
        <v>0</v>
      </c>
      <c r="BA115" s="483">
        <f>IF(T115=1,0,IF(T115=2,0.13,IF(T115=3,0.19,IF(T115=4,0.24,0))))</f>
        <v>0</v>
      </c>
      <c r="BB115" s="483">
        <f>IF(U115=1,0,IF(U115=2,0.08,IF(U115=3,0.12,IF(U115=4,0.15,0))))</f>
        <v>0</v>
      </c>
      <c r="BD115" s="483">
        <f>IF(S115=1,0,IF(S115=2,0.13,IF(S115=3,0.19,IF(S115=4,0.24,0))))</f>
        <v>0</v>
      </c>
      <c r="BE115" s="483">
        <f>IF(T115=1,0,IF(T115=2,0.08,IF(T115=3,0.12,IF(T115=4,0.15,0))))</f>
        <v>0</v>
      </c>
      <c r="BG115" s="483">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78" t="s">
        <v>2196</v>
      </c>
      <c r="BS115" s="878"/>
      <c r="BT115" s="878"/>
      <c r="BU115" s="878"/>
      <c r="BV115" s="878"/>
      <c r="BW115" s="878"/>
      <c r="BX115" s="878"/>
      <c r="BY115" s="878"/>
      <c r="BZ115" s="878"/>
      <c r="CA115" s="878"/>
    </row>
    <row r="116" spans="2:79" customFormat="1" ht="15" customHeight="1" x14ac:dyDescent="0.3">
      <c r="B116" s="304" t="s">
        <v>1608</v>
      </c>
      <c r="C116" s="945"/>
      <c r="D116" s="945"/>
      <c r="E116" s="945"/>
      <c r="F116" s="945"/>
      <c r="G116" s="945"/>
      <c r="H116" s="945"/>
      <c r="I116" s="945"/>
      <c r="J116" s="945"/>
      <c r="K116" s="945"/>
      <c r="L116" s="945"/>
      <c r="M116" s="945"/>
      <c r="N116" s="945"/>
      <c r="P116" s="500"/>
      <c r="S116" s="304">
        <f>IF(C116="",0,C116)</f>
        <v>0</v>
      </c>
      <c r="T116" s="304">
        <f>IF(E116&lt;&gt;C116,E116,IF(AND(E117&lt;&gt;C117,S115&gt;1),S115,0))</f>
        <v>0</v>
      </c>
      <c r="U116" s="304">
        <f>IF(G116&lt;&gt;E116,G116,IF(AND(G117&lt;&gt;E117,T115&gt;1),T115,0))</f>
        <v>0</v>
      </c>
      <c r="V116" s="304">
        <f>IF(I116&lt;&gt;G116,I116,IF(AND(I117&lt;&gt;G117,U115&gt;1),U115,0))</f>
        <v>0</v>
      </c>
      <c r="W116" s="304">
        <f>IF(K116&lt;&gt;I116,K116,IF(AND(K117&lt;&gt;I117,V115&gt;1),V115,0))</f>
        <v>0</v>
      </c>
      <c r="X116" s="304">
        <f>IF(M116&lt;&gt;K116,M116,IF(AND(M117&lt;&gt;K117,W115&gt;1),W115,0))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79" customFormat="1" ht="15" customHeight="1" x14ac:dyDescent="0.3">
      <c r="B117" s="487" t="s">
        <v>1611</v>
      </c>
      <c r="C117" s="945"/>
      <c r="D117" s="945"/>
      <c r="E117" s="945"/>
      <c r="F117" s="945"/>
      <c r="G117" s="945"/>
      <c r="H117" s="945"/>
      <c r="I117" s="945"/>
      <c r="J117" s="945"/>
      <c r="K117" s="945"/>
      <c r="L117" s="945"/>
      <c r="M117" s="945"/>
      <c r="N117" s="945"/>
      <c r="P117" s="500"/>
      <c r="S117" s="304">
        <f>IF(C117="",0,C117)</f>
        <v>0</v>
      </c>
      <c r="T117" s="304">
        <f>IF(E117&lt;&gt;C117,E117,IF(AND(E116&lt;&gt;C116,S115&gt;1),S115,0))</f>
        <v>0</v>
      </c>
      <c r="U117" s="304">
        <f>IF(G117&lt;&gt;E117,G117,IF(AND(G116&lt;&gt;E116,T115&gt;1),T115,0))</f>
        <v>0</v>
      </c>
      <c r="V117" s="304">
        <f>IF(I117&lt;&gt;G117,I117,IF(AND(I116&lt;&gt;G116,U115&gt;1),U115,0))</f>
        <v>0</v>
      </c>
      <c r="W117" s="304">
        <f>IF(K117&lt;&gt;I117,K117,IF(AND(K116&lt;&gt;I116,V115&gt;1),V115,0))</f>
        <v>0</v>
      </c>
      <c r="X117" s="304">
        <f>IF(M117&lt;&gt;K117,M117,IF(AND(M116&lt;&gt;K116,W115&gt;1),W115,0))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79" customFormat="1" ht="15" customHeight="1" x14ac:dyDescent="0.3">
      <c r="B118" s="978" t="str">
        <f>IF(AD118=1,"ERROR: If radial or ulnar impairment is recorded, do not enter losses for 'both sides.'","")</f>
        <v/>
      </c>
      <c r="C118" s="979"/>
      <c r="D118" s="979"/>
      <c r="E118" s="979"/>
      <c r="F118" s="979"/>
      <c r="G118" s="979"/>
      <c r="H118" s="979"/>
      <c r="I118" s="979"/>
      <c r="J118" s="979"/>
      <c r="K118" s="979"/>
      <c r="L118" s="979"/>
      <c r="M118" s="979"/>
      <c r="N118" s="979"/>
      <c r="O118" s="980"/>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480"/>
      <c r="AF118" s="480"/>
    </row>
    <row r="119" spans="2:79" customFormat="1" ht="15" customHeight="1" x14ac:dyDescent="0.3">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79" customFormat="1" ht="15" customHeight="1" x14ac:dyDescent="0.3">
      <c r="B120" s="146" t="s">
        <v>1605</v>
      </c>
      <c r="C120" s="945"/>
      <c r="D120" s="945"/>
      <c r="E120" s="945"/>
      <c r="F120" s="945"/>
      <c r="G120" s="945"/>
      <c r="H120" s="945"/>
      <c r="I120" s="945"/>
      <c r="J120" s="945"/>
      <c r="K120" s="945"/>
      <c r="L120" s="945"/>
      <c r="M120" s="945"/>
      <c r="N120" s="945"/>
      <c r="P120" s="494"/>
      <c r="S120" s="304">
        <f>IF(C120="",0,C120)</f>
        <v>0</v>
      </c>
      <c r="T120" s="304">
        <f>IF(AND(E120&lt;&gt;C120,E120&lt;&gt;""),E120,IF(OR(E121&lt;&gt;"",E122&lt;&gt;""),0,S120))</f>
        <v>0</v>
      </c>
      <c r="U120" s="304">
        <f>IF(AND(G120&lt;&gt;E120,G120&lt;&gt;""),G120,IF(OR(G121&lt;&gt;"",G122&lt;&gt;""),0,T120))</f>
        <v>0</v>
      </c>
      <c r="V120" s="304">
        <f>IF(AND(I120&lt;&gt;G120,I120&lt;&gt;""),I120,IF(OR(I121&lt;&gt;"",I122&lt;&gt;""),0,U120))</f>
        <v>0</v>
      </c>
      <c r="W120" s="304">
        <f>IF(AND(K120&lt;&gt;I120,K120&lt;&gt;""),K120,IF(OR(K121&lt;&gt;"",K122&lt;&gt;""),0,V120))</f>
        <v>0</v>
      </c>
      <c r="X120" s="304">
        <f>IF(AND(M120&lt;&gt;K120,M120&lt;&gt;""),M120,IF(OR(M121&lt;&gt;"",M122&lt;&gt;""),0,W120))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79" customFormat="1" ht="15" customHeight="1" x14ac:dyDescent="0.3">
      <c r="B121" s="304" t="s">
        <v>1608</v>
      </c>
      <c r="C121" s="945"/>
      <c r="D121" s="945"/>
      <c r="E121" s="945"/>
      <c r="F121" s="945"/>
      <c r="G121" s="945"/>
      <c r="H121" s="945"/>
      <c r="I121" s="945"/>
      <c r="J121" s="945"/>
      <c r="K121" s="945"/>
      <c r="L121" s="945"/>
      <c r="M121" s="945"/>
      <c r="N121" s="945"/>
      <c r="P121" s="500"/>
      <c r="S121" s="304">
        <f>IF(C121="",0,C121)</f>
        <v>0</v>
      </c>
      <c r="T121" s="304">
        <f>IF(E121&lt;&gt;C121,E121,IF(AND(E122&lt;&gt;C122,S120&gt;1),S120,0))</f>
        <v>0</v>
      </c>
      <c r="U121" s="304">
        <f>IF(G121&lt;&gt;E121,G121,IF(AND(G122&lt;&gt;E122,T120&gt;1),T120,0))</f>
        <v>0</v>
      </c>
      <c r="V121" s="304">
        <f>IF(I121&lt;&gt;G121,I121,IF(AND(I122&lt;&gt;G122,U120&gt;1),U120,0))</f>
        <v>0</v>
      </c>
      <c r="W121" s="304">
        <f>IF(K121&lt;&gt;I121,K121,IF(AND(K122&lt;&gt;I122,V120&gt;1),V120,0))</f>
        <v>0</v>
      </c>
      <c r="X121" s="304">
        <f>IF(M121&lt;&gt;K121,M121,IF(AND(M122&lt;&gt;K122,W120&gt;1),W120,0))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79" customFormat="1" ht="15" customHeight="1" x14ac:dyDescent="0.3">
      <c r="B122" s="487" t="s">
        <v>1611</v>
      </c>
      <c r="C122" s="945"/>
      <c r="D122" s="945"/>
      <c r="E122" s="945"/>
      <c r="F122" s="945"/>
      <c r="G122" s="945"/>
      <c r="H122" s="945"/>
      <c r="I122" s="945"/>
      <c r="J122" s="945"/>
      <c r="K122" s="945"/>
      <c r="L122" s="945"/>
      <c r="M122" s="945"/>
      <c r="N122" s="945"/>
      <c r="P122" s="500"/>
      <c r="S122" s="304">
        <f>IF(C122="",0,C122)</f>
        <v>0</v>
      </c>
      <c r="T122" s="304">
        <f>IF(E122&lt;&gt;C122,E122,IF(AND(E121&lt;&gt;C121,S120&gt;1),S120,0))</f>
        <v>0</v>
      </c>
      <c r="U122" s="304">
        <f>IF(G122&lt;&gt;E122,G122,IF(AND(G121&lt;&gt;E121,T120&gt;1),T120,0))</f>
        <v>0</v>
      </c>
      <c r="V122" s="304">
        <f>IF(I122&lt;&gt;G122,I122,IF(AND(I121&lt;&gt;G121,U120&gt;1),U120,0))</f>
        <v>0</v>
      </c>
      <c r="W122" s="304">
        <f>IF(K122&lt;&gt;I122,K122,IF(AND(K121&lt;&gt;I121,V120&gt;1),V120,0))</f>
        <v>0</v>
      </c>
      <c r="X122" s="304">
        <f>IF(M122&lt;&gt;K122,M122,IF(AND(M121&lt;&gt;K121,W120&gt;1),W120,0))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79" customFormat="1" ht="15" customHeight="1" x14ac:dyDescent="0.3">
      <c r="B123" s="978" t="str">
        <f>IF(AD123=1,"ERROR: If radial or ulnar impairment is recorded, do not enter losses for 'both sides.'","")</f>
        <v/>
      </c>
      <c r="C123" s="979"/>
      <c r="D123" s="979"/>
      <c r="E123" s="979"/>
      <c r="F123" s="979"/>
      <c r="G123" s="979"/>
      <c r="H123" s="979"/>
      <c r="I123" s="979"/>
      <c r="J123" s="979"/>
      <c r="K123" s="979"/>
      <c r="L123" s="979"/>
      <c r="M123" s="979"/>
      <c r="N123" s="979"/>
      <c r="O123" s="980"/>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79" ht="12" customHeight="1" x14ac:dyDescent="0.3">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3">
      <c r="B125" s="50" t="s">
        <v>1232</v>
      </c>
      <c r="C125" s="925" t="s">
        <v>1370</v>
      </c>
      <c r="D125" s="925"/>
      <c r="E125" s="925"/>
      <c r="F125" s="925"/>
      <c r="G125" s="925"/>
      <c r="H125" s="925" t="s">
        <v>1795</v>
      </c>
      <c r="I125" s="925"/>
      <c r="J125" s="925"/>
      <c r="K125" s="18"/>
      <c r="L125" s="925" t="s">
        <v>1233</v>
      </c>
      <c r="M125" s="925"/>
      <c r="N125" s="925"/>
      <c r="O125" s="925"/>
      <c r="P125" s="770">
        <f>V127</f>
        <v>0</v>
      </c>
      <c r="R125" s="10"/>
      <c r="S125" s="569" t="s">
        <v>1596</v>
      </c>
      <c r="T125" s="569" t="s">
        <v>1304</v>
      </c>
      <c r="U125" s="569" t="s">
        <v>1305</v>
      </c>
      <c r="V125" s="568" t="s">
        <v>1306</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3">
      <c r="B126" s="146" t="s">
        <v>74</v>
      </c>
      <c r="C126" s="933"/>
      <c r="D126" s="933"/>
      <c r="E126" s="933"/>
      <c r="F126" s="933"/>
      <c r="G126" s="933"/>
      <c r="H126" s="936">
        <f>IF(C126=$X$127,0.09,IF(C126=$Y$127,0.18,IF(C126=$Z$127,0.27,0)))</f>
        <v>0</v>
      </c>
      <c r="I126" s="936"/>
      <c r="J126" s="936"/>
      <c r="K126" s="146"/>
      <c r="L126" s="933"/>
      <c r="M126" s="933"/>
      <c r="N126" s="933"/>
      <c r="O126" s="21">
        <f>IF(H126&gt;=S126,H126-S126,0)</f>
        <v>0</v>
      </c>
      <c r="P126" s="770"/>
      <c r="R126" s="10"/>
      <c r="S126" s="147">
        <f>IF(L126=$Y$128,0.09,IF(L126=$Z$128,0.18,IF(L126=$AA$128,0.27,0)))</f>
        <v>0</v>
      </c>
      <c r="T126" s="147">
        <f>LARGE(O126:O128,1)</f>
        <v>0</v>
      </c>
      <c r="U126" s="553">
        <f>T126+T127*(1-T126)</f>
        <v>0</v>
      </c>
      <c r="V126" s="553">
        <f>ROUND(U126,2)</f>
        <v>0</v>
      </c>
      <c r="W126" s="878" t="s">
        <v>2196</v>
      </c>
      <c r="X126" s="878"/>
      <c r="Y126" s="878"/>
      <c r="Z126" s="878"/>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3">
      <c r="B127" s="50" t="s">
        <v>75</v>
      </c>
      <c r="C127" s="933"/>
      <c r="D127" s="933"/>
      <c r="E127" s="933"/>
      <c r="F127" s="933"/>
      <c r="G127" s="933"/>
      <c r="H127" s="936">
        <f>IF(C127=$X$127,0.16,IF(C127=$Y$127,0.32,IF(C127=$Z$127,0.48,0)))</f>
        <v>0</v>
      </c>
      <c r="I127" s="936"/>
      <c r="J127" s="936"/>
      <c r="K127" s="146"/>
      <c r="L127" s="933"/>
      <c r="M127" s="933"/>
      <c r="N127" s="933"/>
      <c r="O127" s="21">
        <f>IF(H127&gt;=S127,H127-S127,0)</f>
        <v>0</v>
      </c>
      <c r="P127" s="77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3">
      <c r="B128" s="50" t="s">
        <v>76</v>
      </c>
      <c r="C128" s="933"/>
      <c r="D128" s="933"/>
      <c r="E128" s="933"/>
      <c r="F128" s="933"/>
      <c r="G128" s="933"/>
      <c r="H128" s="936">
        <f>IF(C128=$X$127,0.2,IF(C128=$Y$127,0.4,IF(C128=$Z$127,0.6,0)))</f>
        <v>0</v>
      </c>
      <c r="I128" s="936"/>
      <c r="J128" s="936"/>
      <c r="K128" s="146"/>
      <c r="L128" s="933"/>
      <c r="M128" s="933"/>
      <c r="N128" s="933"/>
      <c r="O128" s="21">
        <f>IF(H128&gt;=S128,H128-S128,0)</f>
        <v>0</v>
      </c>
      <c r="P128" s="77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3">
      <c r="B129" s="961"/>
      <c r="C129" s="961"/>
      <c r="D129" s="961"/>
      <c r="E129" s="961"/>
      <c r="F129" s="961"/>
      <c r="G129" s="961"/>
      <c r="H129" s="961"/>
      <c r="I129" s="961"/>
      <c r="J129" s="961"/>
      <c r="K129" s="961"/>
      <c r="L129" s="961"/>
      <c r="M129" s="961"/>
      <c r="N129" s="961"/>
      <c r="O129" s="961"/>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3">
      <c r="A130" s="15"/>
      <c r="B130" s="776" t="s">
        <v>968</v>
      </c>
      <c r="C130" s="930"/>
      <c r="D130" s="931"/>
      <c r="E130" s="757" t="s">
        <v>573</v>
      </c>
      <c r="F130" s="758"/>
      <c r="G130" s="758"/>
      <c r="H130" s="758"/>
      <c r="I130" s="758"/>
      <c r="J130" s="758"/>
      <c r="K130" s="758"/>
      <c r="L130" s="758"/>
      <c r="M130" s="758"/>
      <c r="N130" s="758"/>
      <c r="O130" s="759"/>
      <c r="P130" s="248">
        <f>IF(T130=1,0.15,0)</f>
        <v>0</v>
      </c>
      <c r="R130" s="947"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3">
      <c r="B131" s="776"/>
      <c r="C131" s="930"/>
      <c r="D131" s="931"/>
      <c r="E131" s="757" t="s">
        <v>574</v>
      </c>
      <c r="F131" s="758"/>
      <c r="G131" s="758"/>
      <c r="H131" s="758"/>
      <c r="I131" s="758"/>
      <c r="J131" s="758"/>
      <c r="K131" s="758"/>
      <c r="L131" s="758"/>
      <c r="M131" s="758"/>
      <c r="N131" s="758"/>
      <c r="O131" s="759"/>
      <c r="P131" s="248">
        <f>IF(T131=1,0.25,0)</f>
        <v>0</v>
      </c>
      <c r="R131" s="947"/>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3">
      <c r="B132" s="776"/>
      <c r="C132" s="930"/>
      <c r="D132" s="931"/>
      <c r="E132" s="757" t="s">
        <v>788</v>
      </c>
      <c r="F132" s="758"/>
      <c r="G132" s="758"/>
      <c r="H132" s="758"/>
      <c r="I132" s="758"/>
      <c r="J132" s="758"/>
      <c r="K132" s="758"/>
      <c r="L132" s="758"/>
      <c r="M132" s="758"/>
      <c r="N132" s="758"/>
      <c r="O132" s="759"/>
      <c r="P132" s="248">
        <f>IF(T132=1,0.23,0)</f>
        <v>0</v>
      </c>
      <c r="R132" s="947"/>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3">
      <c r="B133" s="792"/>
      <c r="C133" s="792"/>
      <c r="D133" s="792"/>
      <c r="E133" s="792"/>
      <c r="F133" s="792"/>
      <c r="G133" s="792"/>
      <c r="H133" s="792"/>
      <c r="I133" s="792"/>
      <c r="J133" s="792"/>
      <c r="K133" s="792"/>
      <c r="L133" s="792"/>
      <c r="M133" s="792"/>
      <c r="N133" s="792"/>
      <c r="O133" s="792"/>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3">
      <c r="B134" s="932" t="s">
        <v>380</v>
      </c>
      <c r="C134" s="932"/>
      <c r="D134" s="932"/>
      <c r="E134" s="932"/>
      <c r="F134" s="932"/>
      <c r="G134" s="932"/>
      <c r="H134" s="932"/>
      <c r="I134" s="932"/>
      <c r="J134" s="932"/>
      <c r="K134" s="932"/>
      <c r="L134" s="932"/>
      <c r="M134" s="932"/>
      <c r="N134" s="932"/>
      <c r="O134" s="317"/>
      <c r="P134" s="21">
        <f>SUMIF(T134:X134,O134,T135:X135)</f>
        <v>0</v>
      </c>
      <c r="R134" s="951" t="s">
        <v>2196</v>
      </c>
      <c r="S134" s="951"/>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3">
      <c r="B135" s="932" t="s">
        <v>1498</v>
      </c>
      <c r="C135" s="932"/>
      <c r="D135" s="932"/>
      <c r="E135" s="932"/>
      <c r="F135" s="932"/>
      <c r="G135" s="932"/>
      <c r="H135" s="932"/>
      <c r="I135" s="932"/>
      <c r="J135" s="932"/>
      <c r="K135" s="932"/>
      <c r="L135" s="932"/>
      <c r="M135" s="932"/>
      <c r="N135" s="932"/>
      <c r="O135" s="317"/>
      <c r="P135" s="21">
        <f>SUMIF(Z134:AD134,O135,Z135:AD135)</f>
        <v>0</v>
      </c>
      <c r="R135" s="951"/>
      <c r="S135" s="951"/>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3">
      <c r="B136" s="1102"/>
      <c r="C136" s="1102"/>
      <c r="D136" s="1102"/>
      <c r="E136" s="1102"/>
      <c r="F136" s="1102"/>
      <c r="G136" s="1102"/>
      <c r="H136" s="1102"/>
      <c r="I136" s="1102"/>
      <c r="J136" s="1102"/>
      <c r="K136" s="1102"/>
      <c r="L136" s="1102"/>
      <c r="M136" s="1102"/>
      <c r="N136" s="1102"/>
      <c r="O136" s="1102"/>
      <c r="P136" s="309"/>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3">
      <c r="B137" s="879" t="s">
        <v>381</v>
      </c>
      <c r="C137" s="880"/>
      <c r="D137" s="880"/>
      <c r="E137" s="880"/>
      <c r="F137" s="881"/>
      <c r="G137" s="922" t="s">
        <v>1524</v>
      </c>
      <c r="H137" s="941"/>
      <c r="I137" s="941"/>
      <c r="J137" s="942"/>
      <c r="K137" s="1003"/>
      <c r="L137" s="1004"/>
      <c r="M137" s="1004"/>
      <c r="N137" s="1004"/>
      <c r="O137" s="1005"/>
      <c r="P137" s="872">
        <f>U151</f>
        <v>0</v>
      </c>
      <c r="R137" s="146" t="s">
        <v>1864</v>
      </c>
      <c r="S137" s="50" t="s">
        <v>1304</v>
      </c>
      <c r="T137" s="50" t="s">
        <v>1305</v>
      </c>
      <c r="U137" s="50" t="s">
        <v>1306</v>
      </c>
      <c r="V137" s="940" t="s">
        <v>801</v>
      </c>
      <c r="W137" s="941"/>
      <c r="X137" s="942"/>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3">
      <c r="B138" s="937" t="s">
        <v>628</v>
      </c>
      <c r="C138" s="938"/>
      <c r="D138" s="939"/>
      <c r="E138" s="1090">
        <f>P81</f>
        <v>0</v>
      </c>
      <c r="F138" s="1092"/>
      <c r="G138" s="925" t="s">
        <v>1941</v>
      </c>
      <c r="H138" s="925"/>
      <c r="I138" s="949"/>
      <c r="J138" s="949"/>
      <c r="K138" s="1006"/>
      <c r="L138" s="1007"/>
      <c r="M138" s="1007"/>
      <c r="N138" s="1007"/>
      <c r="O138" s="1008"/>
      <c r="P138" s="1010"/>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row>
    <row r="139" spans="1:109" ht="14.5" customHeight="1" x14ac:dyDescent="0.3">
      <c r="B139" s="757" t="s">
        <v>382</v>
      </c>
      <c r="C139" s="758"/>
      <c r="D139" s="759"/>
      <c r="E139" s="770">
        <f>P84</f>
        <v>0</v>
      </c>
      <c r="F139" s="742"/>
      <c r="G139" s="925" t="s">
        <v>1941</v>
      </c>
      <c r="H139" s="925"/>
      <c r="I139" s="949"/>
      <c r="J139" s="949"/>
      <c r="K139" s="1006"/>
      <c r="L139" s="1007"/>
      <c r="M139" s="1007"/>
      <c r="N139" s="1007"/>
      <c r="O139" s="1008"/>
      <c r="P139" s="1010"/>
      <c r="R139" s="557">
        <f>E139</f>
        <v>0</v>
      </c>
      <c r="S139" s="147">
        <f>LARGE($R$138:$R$152,2)</f>
        <v>0</v>
      </c>
      <c r="T139" s="553">
        <f>U138+S140*(1-U138)</f>
        <v>0</v>
      </c>
      <c r="U139" s="557">
        <f t="shared" si="15"/>
        <v>0</v>
      </c>
      <c r="V139" s="50">
        <f>IF(E139&gt;0,2,0)</f>
        <v>0</v>
      </c>
      <c r="W139" s="531">
        <f>COUNTIF(V138:V152,2)</f>
        <v>0</v>
      </c>
      <c r="X139" s="10"/>
      <c r="Y139" s="10" t="s">
        <v>511</v>
      </c>
      <c r="AA139" s="792"/>
      <c r="AB139" s="792"/>
      <c r="AC139" s="792"/>
      <c r="AD139" s="10"/>
      <c r="AG139" s="10"/>
      <c r="AH139" s="10"/>
      <c r="AI139" s="10"/>
      <c r="AJ139" s="10"/>
      <c r="AK139" s="10"/>
      <c r="AL139" s="10"/>
      <c r="AM139" s="10"/>
      <c r="AN139" s="10"/>
      <c r="AO139" s="10"/>
      <c r="AP139" s="10"/>
      <c r="AQ139" s="10"/>
      <c r="AR139" s="10"/>
      <c r="AS139" s="10"/>
      <c r="AT139" s="10"/>
    </row>
    <row r="140" spans="1:109" ht="14.5" customHeight="1" x14ac:dyDescent="0.3">
      <c r="B140" s="757" t="s">
        <v>1958</v>
      </c>
      <c r="C140" s="758"/>
      <c r="D140" s="759"/>
      <c r="E140" s="770">
        <f>IF(E607&gt;0,0,P88)</f>
        <v>0</v>
      </c>
      <c r="F140" s="742"/>
      <c r="G140" s="1095" t="s">
        <v>2256</v>
      </c>
      <c r="H140" s="1095"/>
      <c r="I140" s="949"/>
      <c r="J140" s="949"/>
      <c r="K140" s="1006"/>
      <c r="L140" s="1007"/>
      <c r="M140" s="1007"/>
      <c r="N140" s="1007"/>
      <c r="O140" s="1008"/>
      <c r="P140" s="1010"/>
      <c r="R140" s="557">
        <f t="shared" ref="R140:R147" si="16">IF(I140&gt;0,I140,E140)</f>
        <v>0</v>
      </c>
      <c r="S140" s="147">
        <f>LARGE($R$138:$R$152,3)</f>
        <v>0</v>
      </c>
      <c r="T140" s="553">
        <f>U139+S141*(1-U139)</f>
        <v>0</v>
      </c>
      <c r="U140" s="557">
        <f t="shared" si="15"/>
        <v>0</v>
      </c>
      <c r="V140" s="50">
        <f t="shared" ref="V140:V152" si="17">IF(E140&gt;0,1,0)</f>
        <v>0</v>
      </c>
      <c r="W140" s="10"/>
      <c r="X140" s="10"/>
      <c r="Y140" s="10"/>
      <c r="Z140" s="10"/>
      <c r="AA140" s="792"/>
      <c r="AB140" s="792"/>
      <c r="AC140" s="792"/>
      <c r="AD140" s="10"/>
      <c r="AG140" s="10"/>
      <c r="AH140" s="10"/>
      <c r="AI140" s="10"/>
      <c r="AJ140" s="10"/>
      <c r="AK140" s="10"/>
      <c r="AL140" s="10"/>
      <c r="AM140" s="10"/>
      <c r="AN140" s="10"/>
      <c r="AO140" s="10"/>
      <c r="AP140" s="10"/>
      <c r="AQ140" s="10"/>
      <c r="AR140" s="10"/>
      <c r="AS140" s="10"/>
      <c r="AT140" s="10"/>
    </row>
    <row r="141" spans="1:109" ht="14.5" customHeight="1" x14ac:dyDescent="0.3">
      <c r="B141" s="806" t="s">
        <v>1416</v>
      </c>
      <c r="C141" s="806"/>
      <c r="D141" s="806"/>
      <c r="E141" s="742">
        <f>P106</f>
        <v>0</v>
      </c>
      <c r="F141" s="743"/>
      <c r="G141" s="935"/>
      <c r="H141" s="935"/>
      <c r="I141" s="936">
        <f t="shared" ref="I141:I147" si="18">IF(AND(Y141&lt;0.01,Y141&gt;0),0.01,ROUND(Y141,2))</f>
        <v>0</v>
      </c>
      <c r="J141" s="936"/>
      <c r="K141" s="1006"/>
      <c r="L141" s="1007"/>
      <c r="M141" s="1007"/>
      <c r="N141" s="1007"/>
      <c r="O141" s="1008"/>
      <c r="P141" s="1010"/>
      <c r="R141" s="557">
        <f t="shared" si="16"/>
        <v>0</v>
      </c>
      <c r="S141" s="147">
        <f>LARGE($R$138:$R$152,4)</f>
        <v>0</v>
      </c>
      <c r="T141" s="553">
        <f t="shared" ref="T141:T151" si="19">U140+S142*(1-U140)</f>
        <v>0</v>
      </c>
      <c r="U141" s="557">
        <f t="shared" si="15"/>
        <v>0</v>
      </c>
      <c r="V141" s="50">
        <f t="shared" si="17"/>
        <v>0</v>
      </c>
      <c r="W141" s="10"/>
      <c r="X141" s="10"/>
      <c r="Y141" s="294">
        <f>E141*G141</f>
        <v>0</v>
      </c>
      <c r="Z141" s="604"/>
      <c r="AA141" s="792"/>
      <c r="AB141" s="792"/>
      <c r="AC141" s="792"/>
      <c r="AD141" s="10"/>
      <c r="AG141" s="10"/>
      <c r="AH141" s="10"/>
      <c r="AI141" s="10"/>
      <c r="AJ141" s="10"/>
      <c r="AK141" s="10"/>
      <c r="AL141" s="10"/>
      <c r="AM141" s="10"/>
      <c r="AN141" s="10"/>
      <c r="AO141" s="10"/>
      <c r="AP141" s="10"/>
      <c r="AQ141" s="10"/>
      <c r="AR141" s="10"/>
      <c r="AS141" s="10"/>
      <c r="AT141" s="10"/>
    </row>
    <row r="142" spans="1:109" ht="14.5" customHeight="1" x14ac:dyDescent="0.3">
      <c r="B142" s="757" t="s">
        <v>1417</v>
      </c>
      <c r="C142" s="758"/>
      <c r="D142" s="759"/>
      <c r="E142" s="742">
        <f>P107</f>
        <v>0</v>
      </c>
      <c r="F142" s="743"/>
      <c r="G142" s="935"/>
      <c r="H142" s="935"/>
      <c r="I142" s="936">
        <f t="shared" si="18"/>
        <v>0</v>
      </c>
      <c r="J142" s="936"/>
      <c r="K142" s="1006"/>
      <c r="L142" s="1007"/>
      <c r="M142" s="1007"/>
      <c r="N142" s="1007"/>
      <c r="O142" s="1008"/>
      <c r="P142" s="1010"/>
      <c r="R142" s="557">
        <f t="shared" si="16"/>
        <v>0</v>
      </c>
      <c r="S142" s="147">
        <f>LARGE($R$138:$R$152,5)</f>
        <v>0</v>
      </c>
      <c r="T142" s="553">
        <f t="shared" si="19"/>
        <v>0</v>
      </c>
      <c r="U142" s="557">
        <f t="shared" si="15"/>
        <v>0</v>
      </c>
      <c r="V142" s="50">
        <f t="shared" si="17"/>
        <v>0</v>
      </c>
      <c r="W142" s="10"/>
      <c r="X142" s="10"/>
      <c r="Y142" s="294">
        <f t="shared" ref="Y142:Y147" si="20">E142*G142</f>
        <v>0</v>
      </c>
      <c r="Z142" s="604"/>
      <c r="AA142" s="792"/>
      <c r="AB142" s="792"/>
      <c r="AC142" s="792"/>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3">
      <c r="B143" s="757" t="s">
        <v>1418</v>
      </c>
      <c r="C143" s="758"/>
      <c r="D143" s="759"/>
      <c r="E143" s="742">
        <f>P108</f>
        <v>0</v>
      </c>
      <c r="F143" s="743"/>
      <c r="G143" s="935"/>
      <c r="H143" s="935"/>
      <c r="I143" s="936">
        <f t="shared" si="18"/>
        <v>0</v>
      </c>
      <c r="J143" s="936"/>
      <c r="K143" s="1006"/>
      <c r="L143" s="1007"/>
      <c r="M143" s="1007"/>
      <c r="N143" s="1007"/>
      <c r="O143" s="1008"/>
      <c r="P143" s="1010"/>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3">
      <c r="B144" s="757" t="s">
        <v>1419</v>
      </c>
      <c r="C144" s="758"/>
      <c r="D144" s="759"/>
      <c r="E144" s="742">
        <f>P109</f>
        <v>0</v>
      </c>
      <c r="F144" s="743"/>
      <c r="G144" s="935"/>
      <c r="H144" s="935"/>
      <c r="I144" s="936">
        <f t="shared" si="18"/>
        <v>0</v>
      </c>
      <c r="J144" s="936"/>
      <c r="K144" s="1006"/>
      <c r="L144" s="1007"/>
      <c r="M144" s="1007"/>
      <c r="N144" s="1007"/>
      <c r="O144" s="1008"/>
      <c r="P144" s="1010"/>
      <c r="R144" s="557">
        <f t="shared" si="16"/>
        <v>0</v>
      </c>
      <c r="S144" s="147">
        <f>LARGE($R$138:$R$152,7)</f>
        <v>0</v>
      </c>
      <c r="T144" s="553">
        <f t="shared" si="19"/>
        <v>0</v>
      </c>
      <c r="U144" s="557">
        <f t="shared" si="15"/>
        <v>0</v>
      </c>
      <c r="V144" s="50">
        <f t="shared" si="17"/>
        <v>0</v>
      </c>
      <c r="W144" s="10"/>
      <c r="X144" s="10"/>
      <c r="Y144" s="294">
        <f t="shared" si="20"/>
        <v>0</v>
      </c>
      <c r="Z144" s="604"/>
      <c r="AD144" s="10"/>
      <c r="AE144" s="10"/>
      <c r="AF144" s="10"/>
      <c r="AG144" s="10"/>
      <c r="AH144" s="10"/>
      <c r="AI144" s="10"/>
      <c r="AJ144" s="10"/>
      <c r="AK144" s="10"/>
      <c r="AL144" s="10"/>
      <c r="AM144" s="10"/>
      <c r="AN144" s="10"/>
      <c r="AO144" s="10"/>
      <c r="AP144" s="10"/>
      <c r="AQ144" s="10"/>
      <c r="AR144" s="10"/>
      <c r="AS144" s="10"/>
      <c r="AT144" s="10"/>
    </row>
    <row r="145" spans="2:46" ht="14.5" customHeight="1" x14ac:dyDescent="0.3">
      <c r="B145" s="757" t="s">
        <v>1985</v>
      </c>
      <c r="C145" s="758"/>
      <c r="D145" s="759"/>
      <c r="E145" s="770">
        <f>P118</f>
        <v>0</v>
      </c>
      <c r="F145" s="742"/>
      <c r="G145" s="935"/>
      <c r="H145" s="935"/>
      <c r="I145" s="936">
        <f t="shared" si="18"/>
        <v>0</v>
      </c>
      <c r="J145" s="936"/>
      <c r="K145" s="1006"/>
      <c r="L145" s="1007"/>
      <c r="M145" s="1007"/>
      <c r="N145" s="1007"/>
      <c r="O145" s="1008"/>
      <c r="P145" s="1010"/>
      <c r="R145" s="557">
        <f t="shared" si="16"/>
        <v>0</v>
      </c>
      <c r="S145" s="147">
        <f>LARGE($R$138:$R$152,8)</f>
        <v>0</v>
      </c>
      <c r="T145" s="553">
        <f t="shared" si="19"/>
        <v>0</v>
      </c>
      <c r="U145" s="557">
        <f t="shared" si="15"/>
        <v>0</v>
      </c>
      <c r="V145" s="50">
        <f t="shared" si="17"/>
        <v>0</v>
      </c>
      <c r="W145" s="10"/>
      <c r="X145" s="10"/>
      <c r="Y145" s="294">
        <f t="shared" si="20"/>
        <v>0</v>
      </c>
      <c r="Z145" s="604"/>
      <c r="AD145" s="10"/>
      <c r="AE145" s="10"/>
      <c r="AF145" s="10"/>
      <c r="AG145" s="10"/>
      <c r="AH145" s="10"/>
      <c r="AI145" s="10"/>
      <c r="AJ145" s="10"/>
      <c r="AK145" s="10"/>
      <c r="AL145" s="10"/>
      <c r="AM145" s="10"/>
      <c r="AN145" s="10"/>
      <c r="AO145" s="10"/>
      <c r="AP145" s="10"/>
      <c r="AQ145" s="10"/>
      <c r="AR145" s="10"/>
      <c r="AS145" s="10"/>
      <c r="AT145" s="10"/>
    </row>
    <row r="146" spans="2:46" ht="14.5" customHeight="1" x14ac:dyDescent="0.3">
      <c r="B146" s="757" t="s">
        <v>1226</v>
      </c>
      <c r="C146" s="758"/>
      <c r="D146" s="759"/>
      <c r="E146" s="770">
        <f>P123</f>
        <v>0</v>
      </c>
      <c r="F146" s="742"/>
      <c r="G146" s="935"/>
      <c r="H146" s="935"/>
      <c r="I146" s="936">
        <f t="shared" si="18"/>
        <v>0</v>
      </c>
      <c r="J146" s="936"/>
      <c r="K146" s="633"/>
      <c r="L146" s="634"/>
      <c r="M146" s="634"/>
      <c r="N146" s="634"/>
      <c r="O146" s="635"/>
      <c r="P146" s="1010"/>
      <c r="R146" s="557">
        <f t="shared" si="16"/>
        <v>0</v>
      </c>
      <c r="S146" s="147">
        <f>LARGE($R$138:$R$152,9)</f>
        <v>0</v>
      </c>
      <c r="T146" s="553">
        <f t="shared" si="19"/>
        <v>0</v>
      </c>
      <c r="U146" s="557">
        <f t="shared" si="15"/>
        <v>0</v>
      </c>
      <c r="V146" s="50">
        <f t="shared" si="17"/>
        <v>0</v>
      </c>
      <c r="W146" s="10"/>
      <c r="X146" s="10"/>
      <c r="Y146" s="294">
        <f t="shared" si="20"/>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3">
      <c r="B147" s="757" t="s">
        <v>1232</v>
      </c>
      <c r="C147" s="758"/>
      <c r="D147" s="759"/>
      <c r="E147" s="770">
        <f>P125</f>
        <v>0</v>
      </c>
      <c r="F147" s="742"/>
      <c r="G147" s="935"/>
      <c r="H147" s="935"/>
      <c r="I147" s="936">
        <f t="shared" si="18"/>
        <v>0</v>
      </c>
      <c r="J147" s="936"/>
      <c r="K147" s="633"/>
      <c r="L147" s="634"/>
      <c r="M147" s="634"/>
      <c r="N147" s="634"/>
      <c r="O147" s="635"/>
      <c r="P147" s="1010"/>
      <c r="R147" s="557">
        <f t="shared" si="16"/>
        <v>0</v>
      </c>
      <c r="S147" s="147">
        <f>LARGE($R$138:$R$152,10)</f>
        <v>0</v>
      </c>
      <c r="T147" s="553">
        <f t="shared" si="19"/>
        <v>0</v>
      </c>
      <c r="U147" s="557">
        <f t="shared" si="15"/>
        <v>0</v>
      </c>
      <c r="V147" s="50">
        <f t="shared" si="17"/>
        <v>0</v>
      </c>
      <c r="W147" s="10"/>
      <c r="X147" s="10"/>
      <c r="Y147" s="294">
        <f t="shared" si="20"/>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3">
      <c r="B148" s="757" t="s">
        <v>383</v>
      </c>
      <c r="C148" s="758"/>
      <c r="D148" s="759"/>
      <c r="E148" s="770">
        <f>P130</f>
        <v>0</v>
      </c>
      <c r="F148" s="742"/>
      <c r="G148" s="925" t="s">
        <v>1941</v>
      </c>
      <c r="H148" s="925"/>
      <c r="I148" s="949"/>
      <c r="J148" s="949"/>
      <c r="K148" s="972" t="str">
        <f>IF(AND(P88&gt;0,E607&gt;0),"A value has been granted for motor loss. Additional impairment value is not allowed for reduced ROM in the same extremity.","")</f>
        <v/>
      </c>
      <c r="L148" s="973"/>
      <c r="M148" s="973"/>
      <c r="N148" s="973"/>
      <c r="O148" s="974"/>
      <c r="P148" s="1010"/>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3">
      <c r="B149" s="757" t="s">
        <v>384</v>
      </c>
      <c r="C149" s="758"/>
      <c r="D149" s="759"/>
      <c r="E149" s="770">
        <f>P131</f>
        <v>0</v>
      </c>
      <c r="F149" s="742"/>
      <c r="G149" s="925" t="s">
        <v>1941</v>
      </c>
      <c r="H149" s="925"/>
      <c r="I149" s="949"/>
      <c r="J149" s="949"/>
      <c r="K149" s="972"/>
      <c r="L149" s="973"/>
      <c r="M149" s="973"/>
      <c r="N149" s="973"/>
      <c r="O149" s="974"/>
      <c r="P149" s="1010"/>
      <c r="R149" s="557">
        <f>E149</f>
        <v>0</v>
      </c>
      <c r="S149" s="147">
        <f>LARGE($R$138:$R$152,12)</f>
        <v>0</v>
      </c>
      <c r="T149" s="553">
        <f t="shared" si="19"/>
        <v>0</v>
      </c>
      <c r="U149" s="557">
        <f t="shared" si="15"/>
        <v>0</v>
      </c>
      <c r="V149" s="50">
        <f t="shared" si="17"/>
        <v>0</v>
      </c>
      <c r="W149" s="10"/>
      <c r="X149" s="10"/>
      <c r="Y149" s="305"/>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3">
      <c r="B150" s="757" t="s">
        <v>807</v>
      </c>
      <c r="C150" s="758"/>
      <c r="D150" s="759"/>
      <c r="E150" s="770">
        <f>P132</f>
        <v>0</v>
      </c>
      <c r="F150" s="742"/>
      <c r="G150" s="925" t="s">
        <v>1941</v>
      </c>
      <c r="H150" s="925"/>
      <c r="I150" s="949"/>
      <c r="J150" s="949"/>
      <c r="K150" s="972"/>
      <c r="L150" s="973"/>
      <c r="M150" s="973"/>
      <c r="N150" s="973"/>
      <c r="O150" s="974"/>
      <c r="P150" s="1010"/>
      <c r="R150" s="557">
        <f>E150</f>
        <v>0</v>
      </c>
      <c r="S150" s="147">
        <f>LARGE($R$138:$R$152,13)</f>
        <v>0</v>
      </c>
      <c r="T150" s="553">
        <f t="shared" si="19"/>
        <v>0</v>
      </c>
      <c r="U150" s="557">
        <f t="shared" si="15"/>
        <v>0</v>
      </c>
      <c r="V150" s="50">
        <f t="shared" si="17"/>
        <v>0</v>
      </c>
      <c r="W150" s="10"/>
      <c r="X150" s="10"/>
      <c r="Y150" s="305"/>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3">
      <c r="B151" s="757" t="s">
        <v>1446</v>
      </c>
      <c r="C151" s="758"/>
      <c r="D151" s="759"/>
      <c r="E151" s="770">
        <f>P134</f>
        <v>0</v>
      </c>
      <c r="F151" s="742"/>
      <c r="G151" s="935"/>
      <c r="H151" s="935"/>
      <c r="I151" s="936">
        <f>IF(AND(Y151&lt;0.01,Y151&gt;0),0.01,ROUND(Y151,2))</f>
        <v>0</v>
      </c>
      <c r="J151" s="936"/>
      <c r="K151" s="972"/>
      <c r="L151" s="973"/>
      <c r="M151" s="973"/>
      <c r="N151" s="973"/>
      <c r="O151" s="974"/>
      <c r="P151" s="1010"/>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3">
      <c r="B152" s="804" t="s">
        <v>1253</v>
      </c>
      <c r="C152" s="804"/>
      <c r="D152" s="804"/>
      <c r="E152" s="1015">
        <f>P135</f>
        <v>0</v>
      </c>
      <c r="F152" s="1015"/>
      <c r="G152" s="1009"/>
      <c r="H152" s="1009"/>
      <c r="I152" s="992">
        <f>IF(AND(Y152&lt;0.01,Y152&gt;0),0.01,ROUND(Y152,2))</f>
        <v>0</v>
      </c>
      <c r="J152" s="992"/>
      <c r="K152" s="975"/>
      <c r="L152" s="976"/>
      <c r="M152" s="976"/>
      <c r="N152" s="976"/>
      <c r="O152" s="977"/>
      <c r="P152" s="1010"/>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3">
      <c r="B153" s="958" t="s">
        <v>583</v>
      </c>
      <c r="C153" s="958"/>
      <c r="D153" s="958"/>
      <c r="E153" s="958"/>
      <c r="F153" s="958"/>
      <c r="G153" s="958"/>
      <c r="H153" s="958"/>
      <c r="I153" s="958"/>
      <c r="J153" s="958"/>
      <c r="K153" s="958"/>
      <c r="L153" s="958"/>
      <c r="M153" s="958"/>
      <c r="N153" s="958"/>
      <c r="O153" s="958"/>
      <c r="P153" s="996"/>
      <c r="S153" s="14"/>
      <c r="T153" s="142"/>
      <c r="U153" s="129"/>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3">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3">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3">
      <c r="B156" s="907" t="s">
        <v>584</v>
      </c>
      <c r="C156" s="908"/>
      <c r="D156" s="908"/>
      <c r="E156" s="908"/>
      <c r="F156" s="908"/>
      <c r="G156" s="908"/>
      <c r="H156" s="908"/>
      <c r="I156" s="908"/>
      <c r="J156" s="908"/>
      <c r="K156" s="908"/>
      <c r="L156" s="908"/>
      <c r="M156" s="908"/>
      <c r="N156" s="908"/>
      <c r="O156" s="908"/>
      <c r="P156" s="909"/>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3">
      <c r="B157" s="806" t="s">
        <v>1815</v>
      </c>
      <c r="C157" s="806"/>
      <c r="D157" s="806"/>
      <c r="E157" s="806"/>
      <c r="F157" s="806"/>
      <c r="G157" s="806"/>
      <c r="H157" s="806"/>
      <c r="I157" s="806"/>
      <c r="J157" s="806"/>
      <c r="K157" s="806"/>
      <c r="L157" s="806"/>
      <c r="M157" s="806"/>
      <c r="N157" s="806"/>
      <c r="O157" s="806"/>
      <c r="P157" s="936">
        <f>SUMIF(S157:Y157,B158,S158:Y158)</f>
        <v>0</v>
      </c>
      <c r="R157" s="950"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3">
      <c r="B158" s="1014"/>
      <c r="C158" s="1014"/>
      <c r="D158" s="1014"/>
      <c r="E158" s="1014"/>
      <c r="F158" s="1014"/>
      <c r="G158" s="1014"/>
      <c r="H158" s="1014"/>
      <c r="I158" s="1014"/>
      <c r="J158" s="1014"/>
      <c r="K158" s="1014"/>
      <c r="L158" s="1014"/>
      <c r="M158" s="1014"/>
      <c r="N158" s="1014"/>
      <c r="O158" s="1014"/>
      <c r="P158" s="936"/>
      <c r="R158" s="791"/>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3">
      <c r="B159" s="981" t="str">
        <f>IF(AND(P157&gt;0.1,B161=""),"Enter specific level of amputation or shortening below.","")</f>
        <v/>
      </c>
      <c r="C159" s="981"/>
      <c r="D159" s="981"/>
      <c r="E159" s="981"/>
      <c r="F159" s="981"/>
      <c r="G159" s="981"/>
      <c r="H159" s="981"/>
      <c r="I159" s="981"/>
      <c r="J159" s="981"/>
      <c r="K159" s="981"/>
      <c r="L159" s="981"/>
      <c r="M159" s="981"/>
      <c r="N159" s="981"/>
      <c r="O159" s="981"/>
      <c r="P159" s="981"/>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3">
      <c r="B160" s="776" t="s">
        <v>588</v>
      </c>
      <c r="C160" s="776"/>
      <c r="D160" s="776"/>
      <c r="E160" s="776"/>
      <c r="F160" s="776"/>
      <c r="G160" s="776"/>
      <c r="H160" s="776"/>
      <c r="I160" s="776"/>
      <c r="J160" s="776"/>
      <c r="K160" s="776"/>
      <c r="L160" s="776"/>
      <c r="M160" s="776"/>
      <c r="N160" s="776"/>
      <c r="O160" s="776"/>
      <c r="P160" s="936">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row>
    <row r="161" spans="2:46" ht="15" customHeight="1" x14ac:dyDescent="0.3">
      <c r="B161" s="1014"/>
      <c r="C161" s="1014"/>
      <c r="D161" s="1014"/>
      <c r="E161" s="1014"/>
      <c r="F161" s="1014"/>
      <c r="G161" s="1014"/>
      <c r="H161" s="1014"/>
      <c r="I161" s="1014"/>
      <c r="J161" s="1014"/>
      <c r="K161" s="1014"/>
      <c r="L161" s="1014"/>
      <c r="M161" s="1014"/>
      <c r="N161" s="1014"/>
      <c r="O161" s="1014"/>
      <c r="P161" s="936"/>
      <c r="R161" s="77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3">
      <c r="B162" s="1072" t="s">
        <v>680</v>
      </c>
      <c r="C162" s="1072"/>
      <c r="D162" s="1072"/>
      <c r="E162" s="1072"/>
      <c r="F162" s="1072"/>
      <c r="G162" s="1072"/>
      <c r="H162" s="1072"/>
      <c r="I162" s="1072"/>
      <c r="J162" s="1072"/>
      <c r="K162" s="1072"/>
      <c r="L162" s="1072"/>
      <c r="M162" s="1072"/>
      <c r="N162" s="1072"/>
      <c r="O162" s="1072"/>
      <c r="P162" s="936"/>
      <c r="R162" s="77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3">
      <c r="B163" s="792"/>
      <c r="C163" s="792"/>
      <c r="D163" s="792"/>
      <c r="E163" s="792"/>
      <c r="F163" s="792"/>
      <c r="G163" s="792"/>
      <c r="H163" s="792"/>
      <c r="I163" s="792"/>
      <c r="J163" s="792"/>
      <c r="K163" s="792"/>
      <c r="L163" s="792"/>
      <c r="M163" s="792"/>
      <c r="N163" s="792"/>
      <c r="O163" s="79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3">
      <c r="B164" s="792"/>
      <c r="C164" s="792"/>
      <c r="D164" s="792"/>
      <c r="E164" s="792"/>
      <c r="F164" s="792"/>
      <c r="G164" s="792"/>
      <c r="H164" s="792"/>
      <c r="I164" s="792"/>
      <c r="J164" s="792"/>
      <c r="K164" s="792"/>
      <c r="L164" s="792"/>
      <c r="M164" s="792"/>
      <c r="N164" s="792"/>
      <c r="O164" s="79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3">
      <c r="B165" s="925" t="s">
        <v>1594</v>
      </c>
      <c r="C165" s="925"/>
      <c r="D165" s="925"/>
      <c r="E165" s="925"/>
      <c r="F165" s="925"/>
      <c r="G165" s="925"/>
      <c r="H165" s="925"/>
      <c r="I165" s="925"/>
      <c r="J165" s="925"/>
      <c r="K165" s="925"/>
      <c r="L165" s="925"/>
      <c r="M165" s="925"/>
      <c r="N165" s="925"/>
      <c r="O165" s="925"/>
      <c r="P165" s="770">
        <f>IF(R178=1,"ERROR",IF(AND(AD169&gt;0,AD169&lt;0.01),0.01,ROUND(AD169,2)))</f>
        <v>0</v>
      </c>
      <c r="R165" s="10"/>
      <c r="S165" s="10"/>
      <c r="T165" s="776" t="s">
        <v>1257</v>
      </c>
      <c r="U165" s="776" t="s">
        <v>1257</v>
      </c>
      <c r="V165" s="10"/>
      <c r="W165" s="10"/>
      <c r="X165" s="10"/>
      <c r="Y165" s="10"/>
      <c r="Z165" s="10"/>
      <c r="AA165" s="10"/>
      <c r="AB165" s="10"/>
      <c r="AC165" s="739"/>
      <c r="AD165" s="739"/>
      <c r="AE165" s="10"/>
      <c r="AF165" s="10"/>
      <c r="AG165" s="10"/>
      <c r="AH165" s="10"/>
      <c r="AI165" s="10"/>
      <c r="AJ165" s="10"/>
      <c r="AK165" s="10"/>
      <c r="AL165" s="10"/>
      <c r="AM165" s="10"/>
      <c r="AN165" s="10"/>
      <c r="AO165" s="10"/>
      <c r="AP165" s="10"/>
      <c r="AQ165" s="10"/>
      <c r="AR165" s="10"/>
      <c r="AS165" s="10"/>
      <c r="AT165" s="10"/>
    </row>
    <row r="166" spans="2:46" ht="27" customHeight="1" x14ac:dyDescent="0.3">
      <c r="B166" s="18" t="s">
        <v>1566</v>
      </c>
      <c r="C166" s="925" t="s">
        <v>1595</v>
      </c>
      <c r="D166" s="925"/>
      <c r="E166" s="925"/>
      <c r="F166" s="925"/>
      <c r="G166" s="927" t="s">
        <v>1081</v>
      </c>
      <c r="H166" s="927"/>
      <c r="I166" s="927"/>
      <c r="J166" s="927"/>
      <c r="K166" s="925"/>
      <c r="L166" s="925"/>
      <c r="M166" s="925"/>
      <c r="N166" s="925"/>
      <c r="O166" s="925"/>
      <c r="P166" s="770"/>
      <c r="R166" s="10"/>
      <c r="S166" s="10"/>
      <c r="T166" s="950"/>
      <c r="U166" s="950"/>
      <c r="V166" s="10"/>
      <c r="W166" s="10"/>
      <c r="X166" s="10"/>
      <c r="Y166" s="10"/>
      <c r="Z166" s="10"/>
      <c r="AA166" s="984" t="s">
        <v>2258</v>
      </c>
      <c r="AB166" s="985"/>
      <c r="AC166" s="985"/>
      <c r="AD166" s="986"/>
      <c r="AE166" s="10"/>
      <c r="AF166" s="10"/>
      <c r="AG166" s="10"/>
      <c r="AH166" s="10"/>
      <c r="AI166" s="10"/>
      <c r="AJ166" s="10"/>
      <c r="AK166" s="10"/>
      <c r="AL166" s="10"/>
      <c r="AM166" s="10"/>
      <c r="AN166" s="10"/>
      <c r="AO166" s="10"/>
      <c r="AP166" s="10"/>
      <c r="AQ166" s="10"/>
      <c r="AR166" s="10"/>
      <c r="AS166" s="10"/>
      <c r="AT166" s="10"/>
    </row>
    <row r="167" spans="2:46" ht="18" customHeight="1" x14ac:dyDescent="0.3">
      <c r="B167" s="18"/>
      <c r="C167" s="925" t="s">
        <v>365</v>
      </c>
      <c r="D167" s="925"/>
      <c r="E167" s="925" t="s">
        <v>1795</v>
      </c>
      <c r="F167" s="925"/>
      <c r="G167" s="925" t="s">
        <v>365</v>
      </c>
      <c r="H167" s="925"/>
      <c r="I167" s="925" t="s">
        <v>1795</v>
      </c>
      <c r="J167" s="925"/>
      <c r="K167" s="925"/>
      <c r="L167" s="925"/>
      <c r="M167" s="925"/>
      <c r="N167" s="925"/>
      <c r="O167" s="925"/>
      <c r="P167" s="770"/>
      <c r="R167" s="10"/>
      <c r="S167" s="50" t="s">
        <v>1654</v>
      </c>
      <c r="T167" s="503" t="s">
        <v>1595</v>
      </c>
      <c r="U167" s="259" t="s">
        <v>1596</v>
      </c>
      <c r="V167" s="925" t="s">
        <v>1083</v>
      </c>
      <c r="W167" s="925"/>
      <c r="X167" s="925"/>
      <c r="Y167" s="925"/>
      <c r="AA167" s="987"/>
      <c r="AB167" s="712"/>
      <c r="AC167" s="712"/>
      <c r="AD167" s="988"/>
      <c r="AE167" s="10"/>
      <c r="AF167" s="10"/>
      <c r="AG167" s="10"/>
      <c r="AH167" s="10"/>
      <c r="AI167" s="10"/>
      <c r="AJ167" s="10"/>
      <c r="AK167" s="10"/>
      <c r="AL167" s="10"/>
      <c r="AM167" s="10"/>
      <c r="AN167" s="10"/>
      <c r="AO167" s="10"/>
      <c r="AP167" s="10"/>
      <c r="AQ167" s="10"/>
      <c r="AR167" s="10"/>
      <c r="AS167" s="10"/>
      <c r="AT167" s="10"/>
    </row>
    <row r="168" spans="2:46" ht="13.5" customHeight="1" x14ac:dyDescent="0.3">
      <c r="B168" s="146" t="s">
        <v>681</v>
      </c>
      <c r="C168" s="708"/>
      <c r="D168" s="708"/>
      <c r="E168" s="948">
        <f>UETable!BF25</f>
        <v>0</v>
      </c>
      <c r="F168" s="948"/>
      <c r="G168" s="708"/>
      <c r="H168" s="708"/>
      <c r="I168" s="929">
        <f>IF(C168="",0,IF(OR(C168&lt;=0,G168&lt;=0),E168,IF(G168&lt;C168,0,UETable!BK25)))</f>
        <v>0</v>
      </c>
      <c r="J168" s="929"/>
      <c r="K168" s="946" t="str">
        <f>IF(OR(C168="NA",G168="NA"),"",IF(AND(C168&lt;&gt;"",G168=""),"Enter contralateral or NA.",IF(AND(C168="",G168&lt;&gt;""),"Need data","")))</f>
        <v/>
      </c>
      <c r="L168" s="946"/>
      <c r="M168" s="946"/>
      <c r="N168" s="946"/>
      <c r="O168" s="946"/>
      <c r="P168" s="770"/>
      <c r="R168" s="132"/>
      <c r="S168" s="50">
        <v>70</v>
      </c>
      <c r="T168" s="531" t="str">
        <f>IF(OR(C168="",C168="NA"),"",IF(C168&gt;S168,S168,IF(C168&lt;0,0,C168)))</f>
        <v/>
      </c>
      <c r="U168" s="50" t="str">
        <f>IF(OR(G168="",G168="NA"),"",IF(G168&gt;S168,S168,IF(G168&lt;0,0,G168)))</f>
        <v/>
      </c>
      <c r="V168" s="562" t="str">
        <f>IF(Y168="","",ROUND(Y168,0))</f>
        <v/>
      </c>
      <c r="W168" s="806" t="s">
        <v>1202</v>
      </c>
      <c r="X168" s="806"/>
      <c r="Y168" s="563" t="str">
        <f>IF(T168="","",IF(OR(U168="",U168=0,U168&lt;T168),T168,(T168*70)/U168))</f>
        <v/>
      </c>
      <c r="Z168" s="10"/>
      <c r="AA168" s="989"/>
      <c r="AB168" s="990"/>
      <c r="AC168" s="990"/>
      <c r="AD168" s="991"/>
      <c r="AE168" s="18">
        <f>IF(OR(E170&gt;0,E174&gt;0,E178&gt;0),1,0)</f>
        <v>0</v>
      </c>
      <c r="AF168" s="10"/>
      <c r="AG168" s="10"/>
      <c r="AH168" s="10"/>
      <c r="AI168" s="10"/>
      <c r="AJ168" s="10"/>
      <c r="AK168" s="10"/>
      <c r="AL168" s="10"/>
      <c r="AM168" s="10"/>
      <c r="AN168" s="10"/>
      <c r="AO168" s="10"/>
      <c r="AP168" s="10"/>
      <c r="AQ168" s="10"/>
      <c r="AR168" s="10"/>
      <c r="AS168" s="10"/>
      <c r="AT168" s="10"/>
    </row>
    <row r="169" spans="2:46" ht="13.5" customHeight="1" x14ac:dyDescent="0.3">
      <c r="B169" s="146" t="s">
        <v>682</v>
      </c>
      <c r="C169" s="708"/>
      <c r="D169" s="708"/>
      <c r="E169" s="948">
        <f>UETable!BF26</f>
        <v>0</v>
      </c>
      <c r="F169" s="948"/>
      <c r="G169" s="708"/>
      <c r="H169" s="708"/>
      <c r="I169" s="929">
        <f>IF(C169="",0,IF(OR(C169&gt;=70,G169&gt;=70),E169,IF(G169&gt;C169,0,UETable!BK26)))</f>
        <v>0</v>
      </c>
      <c r="J169" s="929"/>
      <c r="K169" s="946" t="str">
        <f>IF(OR(C169="NA",G169="NA"),"",IF(AND(C169&lt;&gt;"",G169=""),"Enter contralateral or NA.",IF(AND(C169="",G169&lt;&gt;""),"Need data","")))</f>
        <v/>
      </c>
      <c r="L169" s="946"/>
      <c r="M169" s="946"/>
      <c r="N169" s="946"/>
      <c r="O169" s="946"/>
      <c r="P169" s="770"/>
      <c r="S169" s="50">
        <v>70</v>
      </c>
      <c r="T169" s="531"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row>
    <row r="170" spans="2:46" ht="15" customHeight="1" x14ac:dyDescent="0.3">
      <c r="B170" s="146" t="s">
        <v>683</v>
      </c>
      <c r="C170" s="708"/>
      <c r="D170" s="708"/>
      <c r="E170" s="948">
        <f>IF(AND(C170&lt;&gt;"",C170&lt;&gt;"NA",C169&lt;&gt;"NA",C169&lt;&gt;""),"ERROR",IF(AND(C170&lt;&gt;"",C170&lt;&gt;"NA",C168&lt;&gt;"",C168&lt;&gt;"NA"),"ERROR",UETable!BF27))</f>
        <v>0</v>
      </c>
      <c r="F170" s="948"/>
      <c r="G170" s="946" t="str">
        <f>IF(AND(C170&lt;&gt;"",C170&lt;&gt;"NA",C169&lt;&gt;"NA",C169&lt;&gt;""),"ERROR: Cannot rate ROM and ankylosis.",IF(AND(C170&lt;&gt;"",C170&lt;&gt;"NA",C168&lt;&gt;"",C168&lt;&gt;"NA"),"ERROR: Cannot rate ROM and ankylosis.",""))</f>
        <v/>
      </c>
      <c r="H170" s="946"/>
      <c r="I170" s="946"/>
      <c r="J170" s="946"/>
      <c r="K170" s="946"/>
      <c r="L170" s="946"/>
      <c r="M170" s="946"/>
      <c r="N170" s="946"/>
      <c r="O170" s="946"/>
      <c r="P170" s="770"/>
      <c r="R170" s="132"/>
      <c r="S170" s="50">
        <v>70</v>
      </c>
      <c r="T170" s="531"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row>
    <row r="171" spans="2:46" x14ac:dyDescent="0.3">
      <c r="B171" s="993"/>
      <c r="C171" s="994"/>
      <c r="D171" s="994"/>
      <c r="E171" s="994"/>
      <c r="F171" s="994"/>
      <c r="G171" s="994"/>
      <c r="H171" s="994"/>
      <c r="I171" s="994"/>
      <c r="J171" s="995"/>
      <c r="K171" s="958" t="s">
        <v>1841</v>
      </c>
      <c r="L171" s="958"/>
      <c r="M171" s="958"/>
      <c r="N171" s="958"/>
      <c r="O171" s="65">
        <f>IF(E170="ERROR","ERROR",IF(R171&gt;1,1,R171))</f>
        <v>0</v>
      </c>
      <c r="P171" s="770"/>
      <c r="R171" s="194">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3">
      <c r="B172" s="146" t="s">
        <v>684</v>
      </c>
      <c r="C172" s="708"/>
      <c r="D172" s="708"/>
      <c r="E172" s="948">
        <f>UETable!BF29</f>
        <v>0</v>
      </c>
      <c r="F172" s="948"/>
      <c r="G172" s="708"/>
      <c r="H172" s="708"/>
      <c r="I172" s="929">
        <f>IF(C172="",0,IF(OR(C172&lt;=0,G172&lt;=0),E172,IF(G172&lt;C172,0,UETable!BK29)))</f>
        <v>0</v>
      </c>
      <c r="J172" s="929"/>
      <c r="K172" s="946" t="str">
        <f>IF(OR(C172="NA",G172="NA"),"",IF(AND(C172&lt;&gt;"",G172=""),"Enter contralateral or NA.",IF(AND(C172="",G172&lt;&gt;""),"Need data","")))</f>
        <v/>
      </c>
      <c r="L172" s="946"/>
      <c r="M172" s="946"/>
      <c r="N172" s="946"/>
      <c r="O172" s="946"/>
      <c r="P172" s="770"/>
      <c r="R172" s="132"/>
      <c r="S172" s="50">
        <v>100</v>
      </c>
      <c r="T172" s="531" t="str">
        <f>IF(OR(C172="",C172="NA"),"",IF(C172&gt;S172,S172,IF(C172&lt;0,0,C172)))</f>
        <v/>
      </c>
      <c r="U172" s="50" t="str">
        <f>IF(OR(G172="",G172="NA"),"",IF(G172&gt;S172,S172,IF(G172&lt;0,0,G172)))</f>
        <v/>
      </c>
      <c r="V172" s="562" t="str">
        <f>IF(Y172="","",ROUND(Y172,0))</f>
        <v/>
      </c>
      <c r="W172" s="806" t="s">
        <v>1202</v>
      </c>
      <c r="X172" s="806"/>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row>
    <row r="173" spans="2:46" ht="13.5" customHeight="1" x14ac:dyDescent="0.3">
      <c r="B173" s="146" t="s">
        <v>685</v>
      </c>
      <c r="C173" s="708"/>
      <c r="D173" s="708"/>
      <c r="E173" s="948">
        <f>UETable!BF30</f>
        <v>0</v>
      </c>
      <c r="F173" s="948"/>
      <c r="G173" s="708"/>
      <c r="H173" s="708"/>
      <c r="I173" s="929">
        <f>IF(C173="",0,IF(OR(C173&gt;=100,G173&gt;=100),E173,IF(G173&gt;C173,0,UETable!BK30)))</f>
        <v>0</v>
      </c>
      <c r="J173" s="929"/>
      <c r="K173" s="946" t="str">
        <f>IF(OR(C173="NA",G173="NA"),"",IF(AND(C173&lt;&gt;"",G173=""),"Enter contralateral or NA.",IF(AND(C173="",G173&lt;&gt;""),"Need data","")))</f>
        <v/>
      </c>
      <c r="L173" s="946"/>
      <c r="M173" s="946"/>
      <c r="N173" s="946"/>
      <c r="O173" s="946"/>
      <c r="P173" s="770"/>
      <c r="S173" s="50">
        <v>100</v>
      </c>
      <c r="T173" s="531"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row>
    <row r="174" spans="2:46" ht="15" customHeight="1" x14ac:dyDescent="0.3">
      <c r="B174" s="146" t="s">
        <v>686</v>
      </c>
      <c r="C174" s="708"/>
      <c r="D174" s="708"/>
      <c r="E174" s="948">
        <f>IF(AND(C174&lt;&gt;"",C174&lt;&gt;"NA",C173&lt;&gt;"NA",C173&lt;&gt;""),"ERROR",IF(AND(C174&lt;&gt;"",C174&lt;&gt;"NA",C172&lt;&gt;"",C172&lt;&gt;"NA"),"ERROR",UETable!BF31))</f>
        <v>0</v>
      </c>
      <c r="F174" s="948"/>
      <c r="G174" s="946" t="str">
        <f>IF(AND(C174&lt;&gt;"",C174&lt;&gt;"NA",C173&lt;&gt;"NA",C173&lt;&gt;""),"ERROR: Cannot rate ROM and ankylosis.",IF(AND(C174&lt;&gt;"",C174&lt;&gt;"NA",C172&lt;&gt;"",C172&lt;&gt;"NA"),"ERROR: Cannot rate ROM and ankylosis.",""))</f>
        <v/>
      </c>
      <c r="H174" s="946"/>
      <c r="I174" s="946"/>
      <c r="J174" s="946"/>
      <c r="K174" s="946"/>
      <c r="L174" s="946"/>
      <c r="M174" s="946"/>
      <c r="N174" s="946"/>
      <c r="O174" s="946"/>
      <c r="P174" s="770"/>
      <c r="R174" s="10"/>
      <c r="S174" s="50">
        <v>100</v>
      </c>
      <c r="T174" s="531"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3">
      <c r="B175" s="993"/>
      <c r="C175" s="994"/>
      <c r="D175" s="994"/>
      <c r="E175" s="994"/>
      <c r="F175" s="994"/>
      <c r="G175" s="994"/>
      <c r="H175" s="994"/>
      <c r="I175" s="994"/>
      <c r="J175" s="995"/>
      <c r="K175" s="958" t="s">
        <v>1841</v>
      </c>
      <c r="L175" s="958"/>
      <c r="M175" s="958"/>
      <c r="N175" s="958"/>
      <c r="O175" s="65">
        <f>IF(E174="ERROR","ERROR",IF(R175&gt;1,1,R175))</f>
        <v>0</v>
      </c>
      <c r="P175" s="770"/>
      <c r="R175" s="194">
        <f>SUM(I172,I173,E174)</f>
        <v>0</v>
      </c>
      <c r="S175" s="5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row>
    <row r="176" spans="2:46" ht="13.5" customHeight="1" x14ac:dyDescent="0.3">
      <c r="B176" s="146" t="s">
        <v>1577</v>
      </c>
      <c r="C176" s="708"/>
      <c r="D176" s="708"/>
      <c r="E176" s="948">
        <f>UETable!BF33</f>
        <v>0</v>
      </c>
      <c r="F176" s="948"/>
      <c r="G176" s="708"/>
      <c r="H176" s="708"/>
      <c r="I176" s="929">
        <f>IF(C176="",0,IF(OR(C176&lt;=0,G176&lt;=0),E176,IF(G176&lt;C176,0,UETable!BK33)))</f>
        <v>0</v>
      </c>
      <c r="J176" s="929"/>
      <c r="K176" s="946" t="str">
        <f>IF(OR(C176="NA",G176="NA"),"",IF(AND(C176&lt;&gt;"",G176=""),"Enter contralateral or NA.",IF(AND(C176="",G176&lt;&gt;""),"Need data","")))</f>
        <v/>
      </c>
      <c r="L176" s="946"/>
      <c r="M176" s="946"/>
      <c r="N176" s="946"/>
      <c r="O176" s="946"/>
      <c r="P176" s="770"/>
      <c r="R176" s="10"/>
      <c r="S176" s="50">
        <v>90</v>
      </c>
      <c r="T176" s="531" t="str">
        <f>IF(OR(C176="",C176="NA"),"",IF(C176&gt;S176,S176,IF(C176&lt;0,0,C176)))</f>
        <v/>
      </c>
      <c r="U176" s="50" t="str">
        <f>IF(OR(G176="",G176="NA"),"",IF(G176&gt;S176,S176,IF(G176&lt;0,0,G176)))</f>
        <v/>
      </c>
      <c r="V176" s="562" t="str">
        <f>IF(Y176="","",ROUND(Y176,0))</f>
        <v/>
      </c>
      <c r="W176" s="806" t="s">
        <v>1202</v>
      </c>
      <c r="X176" s="806"/>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3">
      <c r="B177" s="146" t="s">
        <v>1578</v>
      </c>
      <c r="C177" s="708"/>
      <c r="D177" s="708"/>
      <c r="E177" s="948">
        <f>UETable!BF34</f>
        <v>0</v>
      </c>
      <c r="F177" s="948"/>
      <c r="G177" s="708"/>
      <c r="H177" s="708"/>
      <c r="I177" s="929">
        <f>IF(C177="",0,IF(OR(C177&gt;=90,G177&gt;=90),E177,IF(G177&gt;C177,0,UETable!BK34)))</f>
        <v>0</v>
      </c>
      <c r="J177" s="929"/>
      <c r="K177" s="946" t="str">
        <f>IF(OR(C177="NA",G177="NA"),"",IF(AND(C177&lt;&gt;"",G177=""),"Enter contralateral or NA.",IF(AND(C177="",G177&lt;&gt;""),"Need data","")))</f>
        <v/>
      </c>
      <c r="L177" s="946"/>
      <c r="M177" s="946"/>
      <c r="N177" s="946"/>
      <c r="O177" s="946"/>
      <c r="P177" s="770"/>
      <c r="R177" s="10"/>
      <c r="S177" s="50">
        <v>90</v>
      </c>
      <c r="T177" s="531"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3">
      <c r="B178" s="146" t="s">
        <v>643</v>
      </c>
      <c r="C178" s="708"/>
      <c r="D178" s="708"/>
      <c r="E178" s="948">
        <f>IF(AND(C178&lt;&gt;"",C178&lt;&gt;"NA",C177&lt;&gt;"NA",C177&lt;&gt;""),"ERROR",IF(AND(C178&lt;&gt;"",C178&lt;&gt;"NA",C176&lt;&gt;"",C176&lt;&gt;"NA"),"ERROR",UETable!BF35))</f>
        <v>0</v>
      </c>
      <c r="F178" s="948"/>
      <c r="G178" s="946" t="str">
        <f>IF(AND(C178&lt;&gt;"",C178&lt;&gt;"NA",C177&lt;&gt;"NA",C177&lt;&gt;""),"ERROR: Cannot rate ROM and ankylosis.",IF(AND(C178&lt;&gt;"",C178&lt;&gt;"NA",C176&lt;&gt;"",C176&lt;&gt;"NA"),"ERROR: Cannot rate ROM and ankylosis.",""))</f>
        <v/>
      </c>
      <c r="H178" s="946"/>
      <c r="I178" s="946"/>
      <c r="J178" s="946"/>
      <c r="K178" s="946"/>
      <c r="L178" s="946"/>
      <c r="M178" s="946"/>
      <c r="N178" s="946"/>
      <c r="O178" s="946"/>
      <c r="P178" s="770"/>
      <c r="R178" s="50">
        <f>IF(OR(O171="ERROR",O175="ERROR",O179="ERROR"),1,0)</f>
        <v>0</v>
      </c>
      <c r="S178" s="531">
        <v>90</v>
      </c>
      <c r="T178" s="531"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3">
      <c r="B179" s="636"/>
      <c r="C179" s="637"/>
      <c r="D179" s="637"/>
      <c r="E179" s="1138" t="str">
        <f>IF(AND(OR(E170&gt;0,E174&gt;0,E178&gt;0),C180&gt;0),"Note: Ankylosis is not apportioned.","")</f>
        <v/>
      </c>
      <c r="F179" s="1138"/>
      <c r="G179" s="1138"/>
      <c r="H179" s="1138"/>
      <c r="I179" s="1138"/>
      <c r="J179" s="958" t="s">
        <v>1841</v>
      </c>
      <c r="K179" s="958"/>
      <c r="L179" s="958"/>
      <c r="M179" s="958"/>
      <c r="N179" s="958"/>
      <c r="O179" s="65">
        <f>IF(E178="ERROR","ERROR",IF(R179&gt;1,1,R179))</f>
        <v>0</v>
      </c>
      <c r="P179" s="77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3">
      <c r="B180" s="13" t="s">
        <v>2255</v>
      </c>
      <c r="C180" s="935"/>
      <c r="D180" s="960"/>
      <c r="E180" s="1138"/>
      <c r="F180" s="1138"/>
      <c r="G180" s="1138"/>
      <c r="H180" s="1138"/>
      <c r="I180" s="1138"/>
      <c r="J180" s="958" t="s">
        <v>77</v>
      </c>
      <c r="K180" s="958"/>
      <c r="L180" s="958"/>
      <c r="M180" s="958"/>
      <c r="N180" s="958"/>
      <c r="O180" s="958"/>
      <c r="P180" s="77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3">
      <c r="B181" s="792"/>
      <c r="C181" s="792"/>
      <c r="D181" s="792"/>
      <c r="E181" s="792"/>
      <c r="F181" s="792"/>
      <c r="G181" s="792"/>
      <c r="H181" s="792"/>
      <c r="I181" s="792"/>
      <c r="J181" s="792"/>
      <c r="K181" s="792"/>
      <c r="L181" s="792"/>
      <c r="M181" s="792"/>
      <c r="N181" s="792"/>
      <c r="O181" s="792"/>
      <c r="R181" s="10"/>
      <c r="S181" s="878" t="s">
        <v>2196</v>
      </c>
      <c r="T181" s="878"/>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3">
      <c r="A182" s="15"/>
      <c r="B182" s="964" t="s">
        <v>969</v>
      </c>
      <c r="C182" s="965"/>
      <c r="D182" s="934"/>
      <c r="E182" s="934"/>
      <c r="F182" s="971" t="s">
        <v>1228</v>
      </c>
      <c r="G182" s="971"/>
      <c r="H182" s="971"/>
      <c r="I182" s="971"/>
      <c r="J182" s="971"/>
      <c r="K182" s="971"/>
      <c r="L182" s="971"/>
      <c r="M182" s="971"/>
      <c r="N182" s="971"/>
      <c r="O182" s="971"/>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3">
      <c r="B183" s="966"/>
      <c r="C183" s="967"/>
      <c r="D183" s="934"/>
      <c r="E183" s="934"/>
      <c r="F183" s="971" t="s">
        <v>1230</v>
      </c>
      <c r="G183" s="971"/>
      <c r="H183" s="971"/>
      <c r="I183" s="971"/>
      <c r="J183" s="971"/>
      <c r="K183" s="971"/>
      <c r="L183" s="971"/>
      <c r="M183" s="971"/>
      <c r="N183" s="971"/>
      <c r="O183" s="971"/>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3">
      <c r="B184" s="966"/>
      <c r="C184" s="967"/>
      <c r="D184" s="934"/>
      <c r="E184" s="934"/>
      <c r="F184" s="971" t="s">
        <v>1229</v>
      </c>
      <c r="G184" s="971"/>
      <c r="H184" s="971"/>
      <c r="I184" s="971"/>
      <c r="J184" s="971"/>
      <c r="K184" s="971"/>
      <c r="L184" s="971"/>
      <c r="M184" s="971"/>
      <c r="N184" s="971"/>
      <c r="O184" s="971"/>
      <c r="P184" s="82">
        <f>IF(T184=1,0.1,0)</f>
        <v>0</v>
      </c>
      <c r="R184" s="10"/>
      <c r="S184" s="555" t="b">
        <v>0</v>
      </c>
      <c r="T184" s="50">
        <f>IF(S184=TRUE,1,0)</f>
        <v>0</v>
      </c>
      <c r="U184" s="10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3">
      <c r="B185" s="968"/>
      <c r="C185" s="969"/>
      <c r="D185" s="934"/>
      <c r="E185" s="934"/>
      <c r="F185" s="971" t="s">
        <v>1231</v>
      </c>
      <c r="G185" s="971"/>
      <c r="H185" s="971"/>
      <c r="I185" s="971"/>
      <c r="J185" s="971"/>
      <c r="K185" s="971"/>
      <c r="L185" s="971"/>
      <c r="M185" s="971"/>
      <c r="N185" s="971"/>
      <c r="O185" s="971"/>
      <c r="P185" s="82">
        <f>IF(T185=1,0.1,0)</f>
        <v>0</v>
      </c>
      <c r="R185" s="10"/>
      <c r="S185" s="555" t="b">
        <v>0</v>
      </c>
      <c r="T185" s="50">
        <f>IF(S185=TRUE,1,0)</f>
        <v>0</v>
      </c>
      <c r="U185" s="10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3">
      <c r="B186" s="792"/>
      <c r="C186" s="792"/>
      <c r="D186" s="792"/>
      <c r="E186" s="792"/>
      <c r="F186" s="792"/>
      <c r="G186" s="792"/>
      <c r="H186" s="792"/>
      <c r="I186" s="792"/>
      <c r="J186" s="792"/>
      <c r="K186" s="792"/>
      <c r="L186" s="792"/>
      <c r="M186" s="792"/>
      <c r="N186" s="792"/>
      <c r="O186" s="792"/>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3">
      <c r="B187" s="485"/>
      <c r="C187" s="1012" t="s">
        <v>248</v>
      </c>
      <c r="D187" s="983"/>
      <c r="E187" s="982" t="s">
        <v>249</v>
      </c>
      <c r="F187" s="983"/>
      <c r="G187" s="355"/>
      <c r="H187" s="357"/>
      <c r="I187" s="1011" t="s">
        <v>250</v>
      </c>
      <c r="J187" s="983"/>
      <c r="K187" s="477"/>
      <c r="L187" s="357"/>
      <c r="M187" s="982" t="s">
        <v>249</v>
      </c>
      <c r="N187" s="983"/>
      <c r="O187" s="356"/>
      <c r="P187" s="492"/>
      <c r="Z187" s="482"/>
      <c r="AE187" s="481"/>
      <c r="AF187" s="481"/>
      <c r="AG187" s="481"/>
      <c r="AH187" s="481"/>
      <c r="AI187" s="481"/>
      <c r="AJ187" s="481"/>
      <c r="AK187" s="481"/>
      <c r="AL187" s="481"/>
      <c r="AM187" s="481"/>
      <c r="AN187" s="481"/>
    </row>
    <row r="188" spans="1:109" ht="12" customHeight="1" x14ac:dyDescent="0.3">
      <c r="B188" s="486"/>
      <c r="C188" s="970" t="s">
        <v>251</v>
      </c>
      <c r="D188" s="963"/>
      <c r="E188" s="970" t="s">
        <v>252</v>
      </c>
      <c r="F188" s="963"/>
      <c r="G188" s="970" t="s">
        <v>253</v>
      </c>
      <c r="H188" s="963"/>
      <c r="I188" s="962" t="s">
        <v>254</v>
      </c>
      <c r="J188" s="963"/>
      <c r="K188" s="970" t="s">
        <v>255</v>
      </c>
      <c r="L188" s="963"/>
      <c r="M188" s="970" t="s">
        <v>256</v>
      </c>
      <c r="N188" s="963"/>
      <c r="P188" s="493"/>
      <c r="Z188" s="332"/>
      <c r="AE188" s="481"/>
      <c r="AF188" s="481"/>
      <c r="AG188" s="481"/>
      <c r="AH188" s="481"/>
      <c r="AI188" s="481"/>
      <c r="AJ188" s="481"/>
      <c r="AK188" s="481"/>
      <c r="AL188" s="481"/>
      <c r="AM188" s="481"/>
      <c r="AN188" s="481"/>
    </row>
    <row r="189" spans="1:109" ht="12" customHeight="1" x14ac:dyDescent="0.3">
      <c r="B189" s="486"/>
      <c r="C189" s="943" t="s">
        <v>257</v>
      </c>
      <c r="D189" s="944"/>
      <c r="E189" s="943" t="s">
        <v>258</v>
      </c>
      <c r="F189" s="944"/>
      <c r="G189" s="943" t="s">
        <v>259</v>
      </c>
      <c r="H189" s="944"/>
      <c r="I189" s="1013" t="s">
        <v>260</v>
      </c>
      <c r="J189" s="944"/>
      <c r="K189" s="943" t="s">
        <v>259</v>
      </c>
      <c r="L189" s="944"/>
      <c r="M189" s="943" t="s">
        <v>258</v>
      </c>
      <c r="N189" s="944"/>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3">
      <c r="B190" s="548" t="s">
        <v>1985</v>
      </c>
      <c r="C190" s="1001" t="s">
        <v>261</v>
      </c>
      <c r="D190" s="1002"/>
      <c r="E190" s="1001" t="s">
        <v>261</v>
      </c>
      <c r="F190" s="1002"/>
      <c r="G190" s="1001" t="s">
        <v>261</v>
      </c>
      <c r="H190" s="1002"/>
      <c r="I190" s="1001" t="s">
        <v>261</v>
      </c>
      <c r="J190" s="1002"/>
      <c r="K190" s="1001" t="s">
        <v>261</v>
      </c>
      <c r="L190" s="1002"/>
      <c r="M190" s="1001" t="s">
        <v>261</v>
      </c>
      <c r="N190" s="1002"/>
      <c r="P190" s="493"/>
      <c r="S190" s="907" t="s">
        <v>2196</v>
      </c>
      <c r="T190" s="908"/>
      <c r="U190" s="908"/>
      <c r="V190" s="908"/>
      <c r="W190" s="908"/>
      <c r="X190" s="909"/>
      <c r="Y190" s="480"/>
      <c r="Z190" s="480"/>
      <c r="AA190" s="952" t="s">
        <v>2196</v>
      </c>
      <c r="AB190" s="953"/>
      <c r="AC190" s="953"/>
      <c r="AD190" s="953"/>
      <c r="AE190" s="953"/>
      <c r="AF190" s="954"/>
      <c r="AG190" s="480"/>
      <c r="AH190" s="910" t="s">
        <v>2196</v>
      </c>
      <c r="AI190" s="911"/>
      <c r="AJ190" s="911"/>
      <c r="AK190" s="911"/>
      <c r="AL190" s="911"/>
      <c r="AM190" s="912"/>
      <c r="AO190" s="907" t="s">
        <v>2196</v>
      </c>
      <c r="AP190" s="908"/>
      <c r="AQ190" s="908"/>
      <c r="AR190" s="908"/>
      <c r="AS190" s="909"/>
      <c r="AU190" s="907" t="s">
        <v>2196</v>
      </c>
      <c r="AV190" s="908"/>
      <c r="AW190" s="908"/>
      <c r="AX190" s="909"/>
      <c r="AZ190" s="907" t="s">
        <v>2196</v>
      </c>
      <c r="BA190" s="908"/>
      <c r="BB190" s="908"/>
      <c r="BC190" s="908"/>
      <c r="BD190" s="908"/>
      <c r="BE190" s="908"/>
      <c r="BF190" s="908"/>
      <c r="BG190" s="909"/>
      <c r="BI190" s="907" t="s">
        <v>2196</v>
      </c>
      <c r="BJ190" s="908"/>
      <c r="BK190" s="908"/>
      <c r="BL190" s="908"/>
      <c r="BM190" s="908"/>
      <c r="BN190" s="909"/>
    </row>
    <row r="191" spans="1:109" customFormat="1" ht="15" customHeight="1" x14ac:dyDescent="0.3">
      <c r="B191" s="146" t="s">
        <v>1606</v>
      </c>
      <c r="C191" s="945"/>
      <c r="D191" s="945"/>
      <c r="E191" s="945"/>
      <c r="F191" s="945"/>
      <c r="G191" s="945"/>
      <c r="H191" s="945"/>
      <c r="I191" s="945"/>
      <c r="J191" s="945"/>
      <c r="K191" s="945"/>
      <c r="L191" s="945"/>
      <c r="M191" s="945"/>
      <c r="N191" s="945"/>
      <c r="P191" s="494"/>
      <c r="S191" s="304">
        <f>IF(C191="",0,C191)</f>
        <v>0</v>
      </c>
      <c r="T191" s="304">
        <f>IF(AND(E191&lt;&gt;C191,E191&lt;&gt;""),E191,IF(OR(E192&lt;&gt;"",E193&lt;&gt;""),0,S191))</f>
        <v>0</v>
      </c>
      <c r="U191" s="304">
        <f>IF(AND(G191&lt;&gt;E191,G191&lt;&gt;""),G191,IF(OR(G192&lt;&gt;"",G193&lt;&gt;""),0,T191))</f>
        <v>0</v>
      </c>
      <c r="V191" s="304">
        <f>IF(AND(I191&lt;&gt;G191,I191&lt;&gt;""),I191,IF(OR(I192&lt;&gt;"",I193&lt;&gt;""),0,U191))</f>
        <v>0</v>
      </c>
      <c r="W191" s="304">
        <f>IF(AND(K191&lt;&gt;I191,K191&lt;&gt;""),K191,IF(OR(K192&lt;&gt;"",K193&lt;&gt;""),0,V191))</f>
        <v>0</v>
      </c>
      <c r="X191" s="304">
        <f>IF(AND(M191&lt;&gt;K191,M191&lt;&gt;""),M191,IF(OR(M192&lt;&gt;"",M193&lt;&gt;""),0,W191))</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907" t="s">
        <v>2196</v>
      </c>
      <c r="BS191" s="908"/>
      <c r="BT191" s="908"/>
      <c r="BU191" s="908"/>
      <c r="BV191" s="908"/>
      <c r="BW191" s="908"/>
      <c r="BX191" s="908"/>
      <c r="BY191" s="908"/>
      <c r="BZ191" s="908"/>
      <c r="CA191" s="909"/>
    </row>
    <row r="192" spans="1:109" customFormat="1" ht="15" customHeight="1" x14ac:dyDescent="0.3">
      <c r="B192" s="304" t="s">
        <v>1609</v>
      </c>
      <c r="C192" s="945"/>
      <c r="D192" s="945"/>
      <c r="E192" s="945"/>
      <c r="F192" s="945"/>
      <c r="G192" s="945"/>
      <c r="H192" s="945"/>
      <c r="I192" s="945"/>
      <c r="J192" s="945"/>
      <c r="K192" s="945"/>
      <c r="L192" s="945"/>
      <c r="M192" s="945"/>
      <c r="N192" s="945"/>
      <c r="P192" s="500"/>
      <c r="S192" s="304">
        <f>IF(C192="",0,C192)</f>
        <v>0</v>
      </c>
      <c r="T192" s="304">
        <f>IF(E192&lt;&gt;C192,E192,IF(AND(E193&lt;&gt;C193,S191&gt;1),S191,0))</f>
        <v>0</v>
      </c>
      <c r="U192" s="304">
        <f>IF(G192&lt;&gt;E192,G192,IF(AND(G193&lt;&gt;E193,T191&gt;1),T191,0))</f>
        <v>0</v>
      </c>
      <c r="V192" s="304">
        <f>IF(I192&lt;&gt;G192,I192,IF(AND(I193&lt;&gt;G193,U191&gt;1),U191,0))</f>
        <v>0</v>
      </c>
      <c r="W192" s="304">
        <f>IF(K192&lt;&gt;I192,K192,IF(AND(K193&lt;&gt;I193,V191&gt;1),V191,0))</f>
        <v>0</v>
      </c>
      <c r="X192" s="304">
        <f>IF(M192&lt;&gt;K192,M192,IF(AND(M193&lt;&gt;K193,W191&gt;1),W191,0))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79" customFormat="1" ht="15" customHeight="1" x14ac:dyDescent="0.3">
      <c r="B193" s="487" t="s">
        <v>1612</v>
      </c>
      <c r="C193" s="945"/>
      <c r="D193" s="945"/>
      <c r="E193" s="945"/>
      <c r="F193" s="945"/>
      <c r="G193" s="945"/>
      <c r="H193" s="945"/>
      <c r="I193" s="945"/>
      <c r="J193" s="945"/>
      <c r="K193" s="945"/>
      <c r="L193" s="945"/>
      <c r="M193" s="945"/>
      <c r="N193" s="945"/>
      <c r="P193" s="500"/>
      <c r="S193" s="304">
        <f>IF(C193="",0,C193)</f>
        <v>0</v>
      </c>
      <c r="T193" s="304">
        <f>IF(E193&lt;&gt;C193,E193,IF(AND(E192&lt;&gt;C192,S191&gt;1),S191,0))</f>
        <v>0</v>
      </c>
      <c r="U193" s="304">
        <f>IF(G193&lt;&gt;E193,G193,IF(AND(G192&lt;&gt;E192,T191&gt;1),T191,0))</f>
        <v>0</v>
      </c>
      <c r="V193" s="304">
        <f>IF(I193&lt;&gt;G193,I193,IF(AND(I192&lt;&gt;G192,U191&gt;1),U191,0))</f>
        <v>0</v>
      </c>
      <c r="W193" s="304">
        <f>IF(K193&lt;&gt;I193,K193,IF(AND(K192&lt;&gt;I192,V191&gt;1),V191,0))</f>
        <v>0</v>
      </c>
      <c r="X193" s="304">
        <f>IF(M193&lt;&gt;K193,M193,IF(AND(M192&lt;&gt;K192,W191&gt;1),W191,0))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79" customFormat="1" ht="15" customHeight="1" x14ac:dyDescent="0.3">
      <c r="B194" s="978" t="str">
        <f>IF(AD194=1,"ERROR: If radial or ulnar impairment is recorded, do not enter losses for 'both sides.'","")</f>
        <v/>
      </c>
      <c r="C194" s="979"/>
      <c r="D194" s="979"/>
      <c r="E194" s="979"/>
      <c r="F194" s="979"/>
      <c r="G194" s="979"/>
      <c r="H194" s="979"/>
      <c r="I194" s="979"/>
      <c r="J194" s="979"/>
      <c r="K194" s="979"/>
      <c r="L194" s="979"/>
      <c r="M194" s="979"/>
      <c r="N194" s="979"/>
      <c r="O194" s="980"/>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79" customFormat="1" ht="15" customHeight="1" x14ac:dyDescent="0.3">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79" customFormat="1" ht="15" customHeight="1" x14ac:dyDescent="0.3">
      <c r="B196" s="146" t="s">
        <v>1606</v>
      </c>
      <c r="C196" s="945"/>
      <c r="D196" s="945"/>
      <c r="E196" s="945"/>
      <c r="F196" s="945"/>
      <c r="G196" s="945"/>
      <c r="H196" s="945"/>
      <c r="I196" s="945"/>
      <c r="J196" s="945"/>
      <c r="K196" s="945"/>
      <c r="L196" s="945"/>
      <c r="M196" s="945"/>
      <c r="N196" s="945"/>
      <c r="P196" s="494"/>
      <c r="S196" s="304">
        <f>IF(C196="",0,C196)</f>
        <v>0</v>
      </c>
      <c r="T196" s="304">
        <f>IF(AND(E196&lt;&gt;C196,E196&lt;&gt;""),E196,IF(OR(E197&lt;&gt;"",E198&lt;&gt;""),0,S196))</f>
        <v>0</v>
      </c>
      <c r="U196" s="304">
        <f>IF(AND(G196&lt;&gt;E196,G196&lt;&gt;""),G196,IF(OR(G197&lt;&gt;"",G198&lt;&gt;""),0,T196))</f>
        <v>0</v>
      </c>
      <c r="V196" s="304">
        <f>IF(AND(I196&lt;&gt;G196,I196&lt;&gt;""),I196,IF(OR(I197&lt;&gt;"",I198&lt;&gt;""),0,U196))</f>
        <v>0</v>
      </c>
      <c r="W196" s="304">
        <f>IF(AND(K196&lt;&gt;I196,K196&lt;&gt;""),K196,IF(OR(K197&lt;&gt;"",K198&lt;&gt;""),0,V196))</f>
        <v>0</v>
      </c>
      <c r="X196" s="304">
        <f>IF(AND(M196&lt;&gt;K196,M196&lt;&gt;""),M196,IF(OR(M197&lt;&gt;"",M198&lt;&gt;""),0,W196))</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79" customFormat="1" ht="15" customHeight="1" x14ac:dyDescent="0.3">
      <c r="B197" s="304" t="s">
        <v>1609</v>
      </c>
      <c r="C197" s="945"/>
      <c r="D197" s="945"/>
      <c r="E197" s="945"/>
      <c r="F197" s="945"/>
      <c r="G197" s="945"/>
      <c r="H197" s="945"/>
      <c r="I197" s="945"/>
      <c r="J197" s="945"/>
      <c r="K197" s="945"/>
      <c r="L197" s="945"/>
      <c r="M197" s="945"/>
      <c r="N197" s="945"/>
      <c r="P197" s="500"/>
      <c r="S197" s="304">
        <f>IF(C197="",0,C197)</f>
        <v>0</v>
      </c>
      <c r="T197" s="304">
        <f>IF(E197&lt;&gt;C197,E197,IF(AND(E198&lt;&gt;C198,S196&gt;1),S196,0))</f>
        <v>0</v>
      </c>
      <c r="U197" s="304">
        <f>IF(G197&lt;&gt;E197,G197,IF(AND(G198&lt;&gt;E198,T196&gt;1),T196,0))</f>
        <v>0</v>
      </c>
      <c r="V197" s="304">
        <f>IF(I197&lt;&gt;G197,I197,IF(AND(I198&lt;&gt;G198,U196&gt;1),U196,0))</f>
        <v>0</v>
      </c>
      <c r="W197" s="304">
        <f>IF(K197&lt;&gt;I197,K197,IF(AND(K198&lt;&gt;I198,V196&gt;1),V196,0))</f>
        <v>0</v>
      </c>
      <c r="X197" s="304">
        <f>IF(M197&lt;&gt;K197,M197,IF(AND(M198&lt;&gt;K198,W196&gt;1),W196,0))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79" customFormat="1" ht="15" customHeight="1" x14ac:dyDescent="0.3">
      <c r="B198" s="487" t="s">
        <v>1612</v>
      </c>
      <c r="C198" s="945"/>
      <c r="D198" s="945"/>
      <c r="E198" s="945"/>
      <c r="F198" s="945"/>
      <c r="G198" s="945"/>
      <c r="H198" s="945"/>
      <c r="I198" s="945"/>
      <c r="J198" s="945"/>
      <c r="K198" s="945"/>
      <c r="L198" s="945"/>
      <c r="M198" s="945"/>
      <c r="N198" s="945"/>
      <c r="P198" s="500"/>
      <c r="S198" s="304">
        <f>IF(C198="",0,C198)</f>
        <v>0</v>
      </c>
      <c r="T198" s="304">
        <f>IF(E198&lt;&gt;C198,E198,IF(AND(E197&lt;&gt;C197,S196&gt;1),S196,0))</f>
        <v>0</v>
      </c>
      <c r="U198" s="304">
        <f>IF(G198&lt;&gt;E198,G198,IF(AND(G197&lt;&gt;E197,T196&gt;1),T196,0))</f>
        <v>0</v>
      </c>
      <c r="V198" s="304">
        <f>IF(I198&lt;&gt;G198,I198,IF(AND(I197&lt;&gt;G197,U196&gt;1),U196,0))</f>
        <v>0</v>
      </c>
      <c r="W198" s="304">
        <f>IF(K198&lt;&gt;I198,K198,IF(AND(K197&lt;&gt;I197,V196&gt;1),V196,0))</f>
        <v>0</v>
      </c>
      <c r="X198" s="304">
        <f>IF(M198&lt;&gt;K198,M198,IF(AND(M197&lt;&gt;K197,W196&gt;1),W196,0))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79" customFormat="1" ht="15" customHeight="1" x14ac:dyDescent="0.3">
      <c r="B199" s="978" t="str">
        <f>IF(AD199=1,"ERROR: If radial or ulnar impairment is recorded, do not enter losses for 'both sides.'","")</f>
        <v/>
      </c>
      <c r="C199" s="979"/>
      <c r="D199" s="979"/>
      <c r="E199" s="979"/>
      <c r="F199" s="979"/>
      <c r="G199" s="979"/>
      <c r="H199" s="979"/>
      <c r="I199" s="979"/>
      <c r="J199" s="979"/>
      <c r="K199" s="979"/>
      <c r="L199" s="979"/>
      <c r="M199" s="979"/>
      <c r="N199" s="979"/>
      <c r="O199" s="980"/>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79" ht="12" customHeight="1" x14ac:dyDescent="0.3">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3">
      <c r="B201" s="50" t="s">
        <v>1232</v>
      </c>
      <c r="C201" s="925" t="s">
        <v>1370</v>
      </c>
      <c r="D201" s="925"/>
      <c r="E201" s="925"/>
      <c r="F201" s="925"/>
      <c r="G201" s="925"/>
      <c r="H201" s="925" t="s">
        <v>1795</v>
      </c>
      <c r="I201" s="925"/>
      <c r="J201" s="925"/>
      <c r="K201" s="18"/>
      <c r="L201" s="925" t="s">
        <v>1233</v>
      </c>
      <c r="M201" s="925"/>
      <c r="N201" s="925"/>
      <c r="O201" s="925"/>
      <c r="P201" s="770">
        <f>V203</f>
        <v>0</v>
      </c>
      <c r="R201" s="10"/>
      <c r="S201" s="568" t="s">
        <v>1596</v>
      </c>
      <c r="T201" s="568" t="s">
        <v>1304</v>
      </c>
      <c r="U201" s="568" t="s">
        <v>1305</v>
      </c>
      <c r="V201" s="568" t="s">
        <v>1306</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3">
      <c r="B202" s="146" t="s">
        <v>546</v>
      </c>
      <c r="C202" s="933"/>
      <c r="D202" s="933"/>
      <c r="E202" s="933"/>
      <c r="F202" s="933"/>
      <c r="G202" s="933"/>
      <c r="H202" s="936">
        <f>IF(C202=$X$127,0.09,IF(C202=$Y$127,0.18,IF(C202=$Z$127,0.27,0)))</f>
        <v>0</v>
      </c>
      <c r="I202" s="936"/>
      <c r="J202" s="936"/>
      <c r="K202" s="146"/>
      <c r="L202" s="933"/>
      <c r="M202" s="933"/>
      <c r="N202" s="933"/>
      <c r="O202" s="21">
        <f>IF(H202&gt;=S202,H202-S202,0)</f>
        <v>0</v>
      </c>
      <c r="P202" s="770"/>
      <c r="R202" s="10"/>
      <c r="S202" s="147">
        <f>IF(L202=$Y$128,0.09,IF(L202=$Z$128,0.18,IF(L202=$AA$128,0.27,0)))</f>
        <v>0</v>
      </c>
      <c r="T202" s="147">
        <f>LARGE(O202:O204,1)</f>
        <v>0</v>
      </c>
      <c r="U202" s="553">
        <f>T202+T203*(1-T202)</f>
        <v>0</v>
      </c>
      <c r="V202" s="553">
        <f>ROUND(U202,2)</f>
        <v>0</v>
      </c>
      <c r="W202" s="878" t="s">
        <v>2196</v>
      </c>
      <c r="X202" s="878"/>
      <c r="Y202" s="878"/>
      <c r="Z202" s="878"/>
      <c r="AA202" s="596"/>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3">
      <c r="B203" s="50" t="s">
        <v>547</v>
      </c>
      <c r="C203" s="933"/>
      <c r="D203" s="933"/>
      <c r="E203" s="933"/>
      <c r="F203" s="933"/>
      <c r="G203" s="933"/>
      <c r="H203" s="936">
        <f>IF(C203=$X$127,0.16,IF(C203=$Y$127,0.32,IF(C203=$Z$127,0.48,0)))</f>
        <v>0</v>
      </c>
      <c r="I203" s="936"/>
      <c r="J203" s="936"/>
      <c r="K203" s="146"/>
      <c r="L203" s="933"/>
      <c r="M203" s="933"/>
      <c r="N203" s="933"/>
      <c r="O203" s="21">
        <f>IF(H203&gt;=S203,H203-S203,0)</f>
        <v>0</v>
      </c>
      <c r="P203" s="77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3">
      <c r="B204" s="50" t="s">
        <v>548</v>
      </c>
      <c r="C204" s="933"/>
      <c r="D204" s="933"/>
      <c r="E204" s="933"/>
      <c r="F204" s="933"/>
      <c r="G204" s="933"/>
      <c r="H204" s="936">
        <f>IF(C204=$X$127,0.2,IF(C204=$Y$127,0.4,IF(C204=$Z$127,0.6,0)))</f>
        <v>0</v>
      </c>
      <c r="I204" s="936"/>
      <c r="J204" s="936"/>
      <c r="K204" s="146"/>
      <c r="L204" s="933"/>
      <c r="M204" s="933"/>
      <c r="N204" s="933"/>
      <c r="O204" s="21">
        <f>IF(H204&gt;=S204,H204-S204,0)</f>
        <v>0</v>
      </c>
      <c r="P204" s="77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3">
      <c r="B205" s="961"/>
      <c r="C205" s="961"/>
      <c r="D205" s="961"/>
      <c r="E205" s="961"/>
      <c r="F205" s="961"/>
      <c r="G205" s="961"/>
      <c r="H205" s="961"/>
      <c r="I205" s="961"/>
      <c r="J205" s="961"/>
      <c r="K205" s="961"/>
      <c r="L205" s="961"/>
      <c r="M205" s="961"/>
      <c r="N205" s="961"/>
      <c r="O205" s="961"/>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3">
      <c r="A206" s="15"/>
      <c r="B206" s="776" t="s">
        <v>968</v>
      </c>
      <c r="C206" s="930"/>
      <c r="D206" s="931"/>
      <c r="E206" s="757" t="s">
        <v>573</v>
      </c>
      <c r="F206" s="758"/>
      <c r="G206" s="758"/>
      <c r="H206" s="758"/>
      <c r="I206" s="758"/>
      <c r="J206" s="758"/>
      <c r="K206" s="758"/>
      <c r="L206" s="758"/>
      <c r="M206" s="758"/>
      <c r="N206" s="758"/>
      <c r="O206" s="759"/>
      <c r="P206" s="248">
        <f>IF(T206=1,0.15,0)</f>
        <v>0</v>
      </c>
      <c r="R206" s="947"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3">
      <c r="B207" s="776"/>
      <c r="C207" s="930"/>
      <c r="D207" s="931"/>
      <c r="E207" s="757" t="s">
        <v>574</v>
      </c>
      <c r="F207" s="758"/>
      <c r="G207" s="758"/>
      <c r="H207" s="758"/>
      <c r="I207" s="758"/>
      <c r="J207" s="758"/>
      <c r="K207" s="758"/>
      <c r="L207" s="758"/>
      <c r="M207" s="758"/>
      <c r="N207" s="758"/>
      <c r="O207" s="759"/>
      <c r="P207" s="248">
        <f>IF(T207=1,0.25,0)</f>
        <v>0</v>
      </c>
      <c r="R207" s="947"/>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3">
      <c r="B208" s="776"/>
      <c r="C208" s="930"/>
      <c r="D208" s="931"/>
      <c r="E208" s="757" t="s">
        <v>788</v>
      </c>
      <c r="F208" s="758"/>
      <c r="G208" s="758"/>
      <c r="H208" s="758"/>
      <c r="I208" s="758"/>
      <c r="J208" s="758"/>
      <c r="K208" s="758"/>
      <c r="L208" s="758"/>
      <c r="M208" s="758"/>
      <c r="N208" s="758"/>
      <c r="O208" s="759"/>
      <c r="P208" s="248">
        <f>IF(T208=1,0.23,0)</f>
        <v>0</v>
      </c>
      <c r="R208" s="947"/>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3">
      <c r="B209" s="792"/>
      <c r="C209" s="792"/>
      <c r="D209" s="792"/>
      <c r="E209" s="792"/>
      <c r="F209" s="792"/>
      <c r="G209" s="792"/>
      <c r="H209" s="792"/>
      <c r="I209" s="792"/>
      <c r="J209" s="792"/>
      <c r="K209" s="792"/>
      <c r="L209" s="792"/>
      <c r="M209" s="792"/>
      <c r="N209" s="792"/>
      <c r="O209" s="792"/>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3">
      <c r="B210" s="932" t="s">
        <v>1451</v>
      </c>
      <c r="C210" s="932"/>
      <c r="D210" s="932"/>
      <c r="E210" s="932"/>
      <c r="F210" s="932"/>
      <c r="G210" s="932"/>
      <c r="H210" s="932"/>
      <c r="I210" s="932"/>
      <c r="J210" s="932"/>
      <c r="K210" s="932"/>
      <c r="L210" s="932"/>
      <c r="M210" s="932"/>
      <c r="N210" s="932"/>
      <c r="O210" s="317"/>
      <c r="P210" s="21">
        <f>SUMIF(T210:X210,O210,T211:X211)</f>
        <v>0</v>
      </c>
      <c r="R210" s="951" t="s">
        <v>2196</v>
      </c>
      <c r="S210" s="951"/>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3">
      <c r="B211" s="932" t="s">
        <v>1498</v>
      </c>
      <c r="C211" s="932"/>
      <c r="D211" s="932"/>
      <c r="E211" s="932"/>
      <c r="F211" s="932"/>
      <c r="G211" s="932"/>
      <c r="H211" s="932"/>
      <c r="I211" s="932"/>
      <c r="J211" s="932"/>
      <c r="K211" s="932"/>
      <c r="L211" s="932"/>
      <c r="M211" s="932"/>
      <c r="N211" s="932"/>
      <c r="O211" s="317"/>
      <c r="P211" s="21">
        <f>SUMIF(Z210:AD210,O211,Z211:AD211)</f>
        <v>0</v>
      </c>
      <c r="R211" s="951"/>
      <c r="S211" s="951"/>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3">
      <c r="B212" s="792"/>
      <c r="C212" s="792"/>
      <c r="D212" s="792"/>
      <c r="E212" s="792"/>
      <c r="F212" s="792"/>
      <c r="G212" s="792"/>
      <c r="H212" s="792"/>
      <c r="I212" s="792"/>
      <c r="J212" s="792"/>
      <c r="K212" s="792"/>
      <c r="L212" s="792"/>
      <c r="M212" s="792"/>
      <c r="N212" s="792"/>
      <c r="O212" s="792"/>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3">
      <c r="B213" s="792"/>
      <c r="C213" s="792"/>
      <c r="D213" s="792"/>
      <c r="E213" s="792"/>
      <c r="F213" s="792"/>
      <c r="G213" s="792"/>
      <c r="H213" s="792"/>
      <c r="I213" s="792"/>
      <c r="J213" s="792"/>
      <c r="K213" s="792"/>
      <c r="L213" s="792"/>
      <c r="M213" s="792"/>
      <c r="N213" s="792"/>
      <c r="O213" s="792"/>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3">
      <c r="B214" s="879" t="s">
        <v>1452</v>
      </c>
      <c r="C214" s="880"/>
      <c r="D214" s="880"/>
      <c r="E214" s="880"/>
      <c r="F214" s="880"/>
      <c r="G214" s="922" t="s">
        <v>1524</v>
      </c>
      <c r="H214" s="941"/>
      <c r="I214" s="941"/>
      <c r="J214" s="942"/>
      <c r="K214" s="1003"/>
      <c r="L214" s="1004"/>
      <c r="M214" s="1004"/>
      <c r="N214" s="1004"/>
      <c r="O214" s="1005"/>
      <c r="P214" s="872">
        <f>U228</f>
        <v>0</v>
      </c>
      <c r="R214" s="146" t="s">
        <v>1864</v>
      </c>
      <c r="S214" s="50" t="s">
        <v>1304</v>
      </c>
      <c r="T214" s="50" t="s">
        <v>1305</v>
      </c>
      <c r="U214" s="50" t="s">
        <v>1306</v>
      </c>
      <c r="V214" s="940" t="s">
        <v>801</v>
      </c>
      <c r="W214" s="941"/>
      <c r="X214" s="942"/>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3">
      <c r="B215" s="937" t="s">
        <v>628</v>
      </c>
      <c r="C215" s="938"/>
      <c r="D215" s="939"/>
      <c r="E215" s="1090">
        <f>P157</f>
        <v>0</v>
      </c>
      <c r="F215" s="1091"/>
      <c r="G215" s="925" t="s">
        <v>1941</v>
      </c>
      <c r="H215" s="925"/>
      <c r="I215" s="949"/>
      <c r="J215" s="949"/>
      <c r="K215" s="1006"/>
      <c r="L215" s="1007"/>
      <c r="M215" s="1007"/>
      <c r="N215" s="1007"/>
      <c r="O215" s="1008"/>
      <c r="P215" s="1010"/>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3">
      <c r="B216" s="757" t="s">
        <v>382</v>
      </c>
      <c r="C216" s="758"/>
      <c r="D216" s="759"/>
      <c r="E216" s="770">
        <f>P160</f>
        <v>0</v>
      </c>
      <c r="F216" s="770"/>
      <c r="G216" s="925" t="s">
        <v>1941</v>
      </c>
      <c r="H216" s="925"/>
      <c r="I216" s="949"/>
      <c r="J216" s="949"/>
      <c r="K216" s="1006"/>
      <c r="L216" s="1007"/>
      <c r="M216" s="1007"/>
      <c r="N216" s="1007"/>
      <c r="O216" s="1008"/>
      <c r="P216" s="1010"/>
      <c r="R216" s="557">
        <f>E216</f>
        <v>0</v>
      </c>
      <c r="S216" s="147">
        <f>LARGE($R$215:$R$229,2)</f>
        <v>0</v>
      </c>
      <c r="T216" s="553">
        <f>U215+S217*(1-U215)</f>
        <v>0</v>
      </c>
      <c r="U216" s="557">
        <f t="shared" si="26"/>
        <v>0</v>
      </c>
      <c r="V216" s="50">
        <f>IF(E216&gt;0,2,0)</f>
        <v>0</v>
      </c>
      <c r="W216" s="531">
        <f>COUNTIF(V215:V229,2)</f>
        <v>0</v>
      </c>
      <c r="X216" s="10"/>
      <c r="Y216" s="10" t="s">
        <v>511</v>
      </c>
      <c r="AA216" s="792"/>
      <c r="AB216" s="792"/>
      <c r="AC216" s="792"/>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3">
      <c r="B217" s="757" t="s">
        <v>1958</v>
      </c>
      <c r="C217" s="758"/>
      <c r="D217" s="759"/>
      <c r="E217" s="770">
        <f>IF(E607&gt;0,0,P165)</f>
        <v>0</v>
      </c>
      <c r="F217" s="770"/>
      <c r="G217" s="1095" t="s">
        <v>2256</v>
      </c>
      <c r="H217" s="1095"/>
      <c r="I217" s="949"/>
      <c r="J217" s="949"/>
      <c r="K217" s="1006"/>
      <c r="L217" s="1007"/>
      <c r="M217" s="1007"/>
      <c r="N217" s="1007"/>
      <c r="O217" s="1008"/>
      <c r="P217" s="1010"/>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2"/>
      <c r="AB217" s="792"/>
      <c r="AC217" s="792"/>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3">
      <c r="B218" s="806" t="s">
        <v>1416</v>
      </c>
      <c r="C218" s="806"/>
      <c r="D218" s="806"/>
      <c r="E218" s="742">
        <f>P182</f>
        <v>0</v>
      </c>
      <c r="F218" s="744"/>
      <c r="G218" s="935"/>
      <c r="H218" s="935"/>
      <c r="I218" s="936">
        <f t="shared" ref="I218:I224" si="29">IF(AND(Y218&lt;0.01,Y218&gt;0),0.01,ROUND(Y218,2))</f>
        <v>0</v>
      </c>
      <c r="J218" s="936"/>
      <c r="K218" s="1006"/>
      <c r="L218" s="1007"/>
      <c r="M218" s="1007"/>
      <c r="N218" s="1007"/>
      <c r="O218" s="1008"/>
      <c r="P218" s="1010"/>
      <c r="R218" s="557">
        <f t="shared" si="27"/>
        <v>0</v>
      </c>
      <c r="S218" s="147">
        <f>LARGE($R$215:$R$229,4)</f>
        <v>0</v>
      </c>
      <c r="T218" s="553">
        <f t="shared" ref="T218:T228" si="30">U217+S219*(1-U217)</f>
        <v>0</v>
      </c>
      <c r="U218" s="557">
        <f t="shared" si="26"/>
        <v>0</v>
      </c>
      <c r="V218" s="50">
        <f t="shared" si="28"/>
        <v>0</v>
      </c>
      <c r="W218" s="10"/>
      <c r="X218" s="10"/>
      <c r="Y218" s="294">
        <f>E218*G218</f>
        <v>0</v>
      </c>
      <c r="Z218" s="604"/>
      <c r="AA218" s="792"/>
      <c r="AB218" s="792"/>
      <c r="AC218" s="792"/>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3">
      <c r="B219" s="757" t="s">
        <v>1417</v>
      </c>
      <c r="C219" s="758"/>
      <c r="D219" s="759"/>
      <c r="E219" s="742">
        <f>P183</f>
        <v>0</v>
      </c>
      <c r="F219" s="744"/>
      <c r="G219" s="935"/>
      <c r="H219" s="935"/>
      <c r="I219" s="936">
        <f t="shared" si="29"/>
        <v>0</v>
      </c>
      <c r="J219" s="936"/>
      <c r="K219" s="1006"/>
      <c r="L219" s="1007"/>
      <c r="M219" s="1007"/>
      <c r="N219" s="1007"/>
      <c r="O219" s="1008"/>
      <c r="P219" s="1010"/>
      <c r="R219" s="557">
        <f t="shared" si="27"/>
        <v>0</v>
      </c>
      <c r="S219" s="147">
        <f>LARGE($R$215:$R$229,5)</f>
        <v>0</v>
      </c>
      <c r="T219" s="553">
        <f t="shared" si="30"/>
        <v>0</v>
      </c>
      <c r="U219" s="557">
        <f t="shared" si="26"/>
        <v>0</v>
      </c>
      <c r="V219" s="50">
        <f t="shared" si="28"/>
        <v>0</v>
      </c>
      <c r="W219" s="10"/>
      <c r="X219" s="10"/>
      <c r="Y219" s="294">
        <f t="shared" ref="Y219:Y224" si="31">E219*G219</f>
        <v>0</v>
      </c>
      <c r="Z219" s="604"/>
      <c r="AA219" s="792"/>
      <c r="AB219" s="792"/>
      <c r="AC219" s="792"/>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3">
      <c r="B220" s="757" t="s">
        <v>1418</v>
      </c>
      <c r="C220" s="758"/>
      <c r="D220" s="759"/>
      <c r="E220" s="742">
        <f>P184</f>
        <v>0</v>
      </c>
      <c r="F220" s="744"/>
      <c r="G220" s="935"/>
      <c r="H220" s="935"/>
      <c r="I220" s="936">
        <f t="shared" si="29"/>
        <v>0</v>
      </c>
      <c r="J220" s="936"/>
      <c r="K220" s="1006"/>
      <c r="L220" s="1007"/>
      <c r="M220" s="1007"/>
      <c r="N220" s="1007"/>
      <c r="O220" s="1008"/>
      <c r="P220" s="1010"/>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3">
      <c r="B221" s="757" t="s">
        <v>1419</v>
      </c>
      <c r="C221" s="758"/>
      <c r="D221" s="759"/>
      <c r="E221" s="742">
        <f>P185</f>
        <v>0</v>
      </c>
      <c r="F221" s="744"/>
      <c r="G221" s="935"/>
      <c r="H221" s="935"/>
      <c r="I221" s="936">
        <f t="shared" si="29"/>
        <v>0</v>
      </c>
      <c r="J221" s="936"/>
      <c r="K221" s="1006"/>
      <c r="L221" s="1007"/>
      <c r="M221" s="1007"/>
      <c r="N221" s="1007"/>
      <c r="O221" s="1008"/>
      <c r="P221" s="1010"/>
      <c r="R221" s="557">
        <f t="shared" si="27"/>
        <v>0</v>
      </c>
      <c r="S221" s="147">
        <f>LARGE($R$215:$R$229,7)</f>
        <v>0</v>
      </c>
      <c r="T221" s="553">
        <f t="shared" si="30"/>
        <v>0</v>
      </c>
      <c r="U221" s="557">
        <f t="shared" si="26"/>
        <v>0</v>
      </c>
      <c r="V221" s="50">
        <f t="shared" si="28"/>
        <v>0</v>
      </c>
      <c r="W221" s="10"/>
      <c r="X221" s="10"/>
      <c r="Y221" s="294">
        <f t="shared" si="31"/>
        <v>0</v>
      </c>
      <c r="Z221" s="604"/>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3">
      <c r="B222" s="757" t="s">
        <v>1985</v>
      </c>
      <c r="C222" s="758"/>
      <c r="D222" s="759"/>
      <c r="E222" s="770">
        <f>P194</f>
        <v>0</v>
      </c>
      <c r="F222" s="770"/>
      <c r="G222" s="935"/>
      <c r="H222" s="935"/>
      <c r="I222" s="936">
        <f t="shared" si="29"/>
        <v>0</v>
      </c>
      <c r="J222" s="936"/>
      <c r="K222" s="1006"/>
      <c r="L222" s="1007"/>
      <c r="M222" s="1007"/>
      <c r="N222" s="1007"/>
      <c r="O222" s="1008"/>
      <c r="P222" s="1010"/>
      <c r="R222" s="557">
        <f t="shared" si="27"/>
        <v>0</v>
      </c>
      <c r="S222" s="147">
        <f>LARGE($R$215:$R$229,8)</f>
        <v>0</v>
      </c>
      <c r="T222" s="553">
        <f t="shared" si="30"/>
        <v>0</v>
      </c>
      <c r="U222" s="557">
        <f t="shared" si="26"/>
        <v>0</v>
      </c>
      <c r="V222" s="50">
        <f t="shared" si="28"/>
        <v>0</v>
      </c>
      <c r="W222" s="10"/>
      <c r="X222" s="10"/>
      <c r="Y222" s="294">
        <f t="shared" si="31"/>
        <v>0</v>
      </c>
      <c r="Z222" s="604"/>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3">
      <c r="B223" s="757" t="s">
        <v>1226</v>
      </c>
      <c r="C223" s="758"/>
      <c r="D223" s="759"/>
      <c r="E223" s="770">
        <f>P199</f>
        <v>0</v>
      </c>
      <c r="F223" s="770"/>
      <c r="G223" s="935"/>
      <c r="H223" s="935"/>
      <c r="I223" s="936">
        <f t="shared" si="29"/>
        <v>0</v>
      </c>
      <c r="J223" s="936"/>
      <c r="K223" s="633"/>
      <c r="L223" s="634"/>
      <c r="M223" s="634"/>
      <c r="N223" s="634"/>
      <c r="O223" s="635"/>
      <c r="P223" s="1010"/>
      <c r="R223" s="557">
        <f t="shared" si="27"/>
        <v>0</v>
      </c>
      <c r="S223" s="147">
        <f>LARGE($R$215:$R$229,9)</f>
        <v>0</v>
      </c>
      <c r="T223" s="553">
        <f t="shared" si="30"/>
        <v>0</v>
      </c>
      <c r="U223" s="557">
        <f t="shared" si="26"/>
        <v>0</v>
      </c>
      <c r="V223" s="50">
        <f t="shared" si="28"/>
        <v>0</v>
      </c>
      <c r="W223" s="10"/>
      <c r="X223" s="10"/>
      <c r="Y223" s="294">
        <f t="shared" si="31"/>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3">
      <c r="B224" s="757" t="s">
        <v>1232</v>
      </c>
      <c r="C224" s="758"/>
      <c r="D224" s="759"/>
      <c r="E224" s="770">
        <f>P201</f>
        <v>0</v>
      </c>
      <c r="F224" s="770"/>
      <c r="G224" s="935"/>
      <c r="H224" s="935"/>
      <c r="I224" s="936">
        <f t="shared" si="29"/>
        <v>0</v>
      </c>
      <c r="J224" s="936"/>
      <c r="K224" s="633"/>
      <c r="L224" s="634"/>
      <c r="M224" s="634"/>
      <c r="N224" s="634"/>
      <c r="O224" s="635"/>
      <c r="P224" s="1010"/>
      <c r="R224" s="557">
        <f t="shared" si="27"/>
        <v>0</v>
      </c>
      <c r="S224" s="147">
        <f>LARGE($R$215:$R$229,10)</f>
        <v>0</v>
      </c>
      <c r="T224" s="553">
        <f t="shared" si="30"/>
        <v>0</v>
      </c>
      <c r="U224" s="557">
        <f t="shared" si="26"/>
        <v>0</v>
      </c>
      <c r="V224" s="50">
        <f t="shared" si="28"/>
        <v>0</v>
      </c>
      <c r="W224" s="10"/>
      <c r="X224" s="10"/>
      <c r="Y224" s="294">
        <f t="shared" si="31"/>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3">
      <c r="B225" s="757" t="s">
        <v>383</v>
      </c>
      <c r="C225" s="758"/>
      <c r="D225" s="759"/>
      <c r="E225" s="770">
        <f>P206</f>
        <v>0</v>
      </c>
      <c r="F225" s="770"/>
      <c r="G225" s="925" t="s">
        <v>1941</v>
      </c>
      <c r="H225" s="925"/>
      <c r="I225" s="949"/>
      <c r="J225" s="949"/>
      <c r="K225" s="972" t="str">
        <f>IF(AND(P165&gt;0,E607&gt;0),"A value has been granted for motor loss. Additional impairment value is not allowed for reduced ROM in the same extremity.","")</f>
        <v/>
      </c>
      <c r="L225" s="973"/>
      <c r="M225" s="973"/>
      <c r="N225" s="973"/>
      <c r="O225" s="974"/>
      <c r="P225" s="1010"/>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3">
      <c r="B226" s="757" t="s">
        <v>384</v>
      </c>
      <c r="C226" s="758"/>
      <c r="D226" s="759"/>
      <c r="E226" s="770">
        <f>P207</f>
        <v>0</v>
      </c>
      <c r="F226" s="770"/>
      <c r="G226" s="925" t="s">
        <v>1941</v>
      </c>
      <c r="H226" s="925"/>
      <c r="I226" s="949"/>
      <c r="J226" s="949"/>
      <c r="K226" s="972"/>
      <c r="L226" s="973"/>
      <c r="M226" s="973"/>
      <c r="N226" s="973"/>
      <c r="O226" s="974"/>
      <c r="P226" s="1010"/>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3">
      <c r="B227" s="757" t="s">
        <v>807</v>
      </c>
      <c r="C227" s="758"/>
      <c r="D227" s="759"/>
      <c r="E227" s="770">
        <f>P208</f>
        <v>0</v>
      </c>
      <c r="F227" s="770"/>
      <c r="G227" s="925" t="s">
        <v>1941</v>
      </c>
      <c r="H227" s="925"/>
      <c r="I227" s="949"/>
      <c r="J227" s="949"/>
      <c r="K227" s="972"/>
      <c r="L227" s="973"/>
      <c r="M227" s="973"/>
      <c r="N227" s="973"/>
      <c r="O227" s="974"/>
      <c r="P227" s="1010"/>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3">
      <c r="B228" s="757" t="s">
        <v>1446</v>
      </c>
      <c r="C228" s="758"/>
      <c r="D228" s="759"/>
      <c r="E228" s="770">
        <f>P210</f>
        <v>0</v>
      </c>
      <c r="F228" s="770"/>
      <c r="G228" s="935"/>
      <c r="H228" s="935"/>
      <c r="I228" s="936">
        <f>IF(AND(Y228&lt;0.01,Y228&gt;0),0.01,ROUND(Y228,2))</f>
        <v>0</v>
      </c>
      <c r="J228" s="936"/>
      <c r="K228" s="972"/>
      <c r="L228" s="973"/>
      <c r="M228" s="973"/>
      <c r="N228" s="973"/>
      <c r="O228" s="974"/>
      <c r="P228" s="1010"/>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3">
      <c r="B229" s="806" t="s">
        <v>1253</v>
      </c>
      <c r="C229" s="806"/>
      <c r="D229" s="806"/>
      <c r="E229" s="1154">
        <f>P211</f>
        <v>0</v>
      </c>
      <c r="F229" s="1154"/>
      <c r="G229" s="935"/>
      <c r="H229" s="935"/>
      <c r="I229" s="936">
        <f>IF(AND(Y229&lt;0.01,Y229&gt;0),0.01,ROUND(Y229,2))</f>
        <v>0</v>
      </c>
      <c r="J229" s="936"/>
      <c r="K229" s="975"/>
      <c r="L229" s="976"/>
      <c r="M229" s="976"/>
      <c r="N229" s="976"/>
      <c r="O229" s="977"/>
      <c r="P229" s="1010"/>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3">
      <c r="B230" s="1144" t="s">
        <v>2251</v>
      </c>
      <c r="C230" s="1145"/>
      <c r="D230" s="1145"/>
      <c r="E230" s="1145"/>
      <c r="F230" s="1145"/>
      <c r="G230" s="1145"/>
      <c r="H230" s="1145"/>
      <c r="I230" s="1145"/>
      <c r="J230" s="1145"/>
      <c r="K230" s="1145"/>
      <c r="L230" s="1145"/>
      <c r="M230" s="1145"/>
      <c r="N230" s="1145"/>
      <c r="O230" s="1146"/>
      <c r="P230" s="996"/>
      <c r="S230" s="14"/>
      <c r="T230" s="142"/>
      <c r="U230" s="129"/>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3">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3">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3">
      <c r="B233" s="907" t="s">
        <v>1453</v>
      </c>
      <c r="C233" s="908"/>
      <c r="D233" s="908"/>
      <c r="E233" s="908"/>
      <c r="F233" s="908"/>
      <c r="G233" s="908"/>
      <c r="H233" s="908"/>
      <c r="I233" s="908"/>
      <c r="J233" s="908"/>
      <c r="K233" s="908"/>
      <c r="L233" s="908"/>
      <c r="M233" s="908"/>
      <c r="N233" s="908"/>
      <c r="O233" s="908"/>
      <c r="P233" s="909"/>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3">
      <c r="B234" s="791" t="s">
        <v>1454</v>
      </c>
      <c r="C234" s="791"/>
      <c r="D234" s="791"/>
      <c r="E234" s="791"/>
      <c r="F234" s="791"/>
      <c r="G234" s="791"/>
      <c r="H234" s="791"/>
      <c r="I234" s="791"/>
      <c r="J234" s="791"/>
      <c r="K234" s="791"/>
      <c r="L234" s="791"/>
      <c r="M234" s="791"/>
      <c r="N234" s="791"/>
      <c r="O234" s="791"/>
      <c r="P234" s="992">
        <f>SUMIF(S234:Y234,B235,S235:Y235)</f>
        <v>0</v>
      </c>
      <c r="R234" s="950"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3">
      <c r="B235" s="1014"/>
      <c r="C235" s="1014"/>
      <c r="D235" s="1014"/>
      <c r="E235" s="1014"/>
      <c r="F235" s="1014"/>
      <c r="G235" s="1014"/>
      <c r="H235" s="1014"/>
      <c r="I235" s="1014"/>
      <c r="J235" s="1014"/>
      <c r="K235" s="1014"/>
      <c r="L235" s="1014"/>
      <c r="M235" s="1014"/>
      <c r="N235" s="1014"/>
      <c r="O235" s="1014"/>
      <c r="P235" s="1082"/>
      <c r="R235" s="791"/>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3">
      <c r="B236" s="981" t="str">
        <f>IF(AND(P234&gt;0.1,B238=""),"Enter specific level of amputation or shortening below.","")</f>
        <v/>
      </c>
      <c r="C236" s="981"/>
      <c r="D236" s="981"/>
      <c r="E236" s="981"/>
      <c r="F236" s="981"/>
      <c r="G236" s="981"/>
      <c r="H236" s="981"/>
      <c r="I236" s="981"/>
      <c r="J236" s="981"/>
      <c r="K236" s="981"/>
      <c r="L236" s="981"/>
      <c r="M236" s="981"/>
      <c r="N236" s="981"/>
      <c r="O236" s="981"/>
      <c r="P236" s="981"/>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3">
      <c r="B237" s="776" t="s">
        <v>1675</v>
      </c>
      <c r="C237" s="776"/>
      <c r="D237" s="776"/>
      <c r="E237" s="776"/>
      <c r="F237" s="776"/>
      <c r="G237" s="776"/>
      <c r="H237" s="776"/>
      <c r="I237" s="776"/>
      <c r="J237" s="776"/>
      <c r="K237" s="776"/>
      <c r="L237" s="776"/>
      <c r="M237" s="776"/>
      <c r="N237" s="776"/>
      <c r="O237" s="776"/>
      <c r="P237" s="992">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row>
    <row r="238" spans="2:52" ht="15" customHeight="1" x14ac:dyDescent="0.3">
      <c r="B238" s="1014"/>
      <c r="C238" s="1014"/>
      <c r="D238" s="1014"/>
      <c r="E238" s="1014"/>
      <c r="F238" s="1014"/>
      <c r="G238" s="1014"/>
      <c r="H238" s="1014"/>
      <c r="I238" s="1014"/>
      <c r="J238" s="1014"/>
      <c r="K238" s="1014"/>
      <c r="L238" s="1014"/>
      <c r="M238" s="1014"/>
      <c r="N238" s="1014"/>
      <c r="O238" s="1014"/>
      <c r="P238" s="1081"/>
      <c r="R238" s="77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3">
      <c r="B239" s="1042" t="s">
        <v>680</v>
      </c>
      <c r="C239" s="1043"/>
      <c r="D239" s="1043"/>
      <c r="E239" s="1043"/>
      <c r="F239" s="1043"/>
      <c r="G239" s="1043"/>
      <c r="H239" s="1043"/>
      <c r="I239" s="1043"/>
      <c r="J239" s="1043"/>
      <c r="K239" s="1043"/>
      <c r="L239" s="1043"/>
      <c r="M239" s="1043"/>
      <c r="N239" s="1043"/>
      <c r="O239" s="1044"/>
      <c r="P239" s="1082"/>
      <c r="R239" s="77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3">
      <c r="B240" s="792"/>
      <c r="C240" s="792"/>
      <c r="D240" s="792"/>
      <c r="E240" s="792"/>
      <c r="F240" s="792"/>
      <c r="G240" s="792"/>
      <c r="H240" s="792"/>
      <c r="I240" s="792"/>
      <c r="J240" s="792"/>
      <c r="K240" s="792"/>
      <c r="L240" s="792"/>
      <c r="M240" s="792"/>
      <c r="N240" s="792"/>
      <c r="O240" s="792"/>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3">
      <c r="B241" s="925" t="s">
        <v>1594</v>
      </c>
      <c r="C241" s="925"/>
      <c r="D241" s="925"/>
      <c r="E241" s="925"/>
      <c r="F241" s="925"/>
      <c r="G241" s="925"/>
      <c r="H241" s="925"/>
      <c r="I241" s="925"/>
      <c r="J241" s="925"/>
      <c r="K241" s="925"/>
      <c r="L241" s="925"/>
      <c r="M241" s="925"/>
      <c r="N241" s="925"/>
      <c r="O241" s="925"/>
      <c r="P241" s="770">
        <f>IF(R254=1,"ERROR",IF(AND(AD245&gt;0,AD245&lt;0.01),0.01,ROUND(AD245,2)))</f>
        <v>0</v>
      </c>
      <c r="R241" s="10"/>
      <c r="S241" s="10"/>
      <c r="T241" s="776" t="s">
        <v>1257</v>
      </c>
      <c r="U241" s="776" t="s">
        <v>1257</v>
      </c>
      <c r="V241" s="10"/>
      <c r="W241" s="10"/>
      <c r="X241" s="10"/>
      <c r="Y241" s="10"/>
      <c r="Z241" s="10"/>
      <c r="AA241" s="10"/>
      <c r="AB241" s="10"/>
      <c r="AC241" s="739"/>
      <c r="AD241" s="739"/>
      <c r="AE241" s="10"/>
      <c r="AF241" s="10"/>
      <c r="AG241" s="10"/>
      <c r="AH241" s="10"/>
      <c r="AI241" s="10"/>
      <c r="AJ241" s="10"/>
      <c r="AK241" s="10"/>
      <c r="AL241" s="10"/>
      <c r="AM241" s="10"/>
      <c r="AN241" s="10"/>
      <c r="AO241" s="10"/>
      <c r="AP241" s="10"/>
      <c r="AQ241" s="10"/>
      <c r="AR241" s="10"/>
      <c r="AS241" s="10"/>
      <c r="AT241" s="10"/>
    </row>
    <row r="242" spans="2:46" ht="27" customHeight="1" x14ac:dyDescent="0.3">
      <c r="B242" s="20" t="s">
        <v>1568</v>
      </c>
      <c r="C242" s="847" t="s">
        <v>1595</v>
      </c>
      <c r="D242" s="847"/>
      <c r="E242" s="847"/>
      <c r="F242" s="847"/>
      <c r="G242" s="1137" t="s">
        <v>1081</v>
      </c>
      <c r="H242" s="1137"/>
      <c r="I242" s="1137"/>
      <c r="J242" s="1137"/>
      <c r="K242" s="847"/>
      <c r="L242" s="847"/>
      <c r="M242" s="847"/>
      <c r="N242" s="847"/>
      <c r="O242" s="1098"/>
      <c r="P242" s="770"/>
      <c r="R242" s="10"/>
      <c r="S242" s="10"/>
      <c r="T242" s="950"/>
      <c r="U242" s="950"/>
      <c r="V242" s="10"/>
      <c r="W242" s="10"/>
      <c r="X242" s="10"/>
      <c r="Y242" s="10"/>
      <c r="Z242" s="10"/>
      <c r="AA242" s="984" t="s">
        <v>2258</v>
      </c>
      <c r="AB242" s="985"/>
      <c r="AC242" s="985"/>
      <c r="AD242" s="986"/>
      <c r="AE242" s="10"/>
      <c r="AF242" s="10"/>
      <c r="AG242" s="10"/>
      <c r="AH242" s="10"/>
      <c r="AI242" s="10"/>
      <c r="AJ242" s="10"/>
      <c r="AK242" s="10"/>
      <c r="AL242" s="10"/>
      <c r="AM242" s="10"/>
      <c r="AN242" s="10"/>
      <c r="AO242" s="10"/>
      <c r="AP242" s="10"/>
      <c r="AQ242" s="10"/>
      <c r="AR242" s="10"/>
      <c r="AS242" s="10"/>
      <c r="AT242" s="10"/>
    </row>
    <row r="243" spans="2:46" ht="18" customHeight="1" x14ac:dyDescent="0.3">
      <c r="B243" s="18"/>
      <c r="C243" s="925" t="s">
        <v>365</v>
      </c>
      <c r="D243" s="925"/>
      <c r="E243" s="925" t="s">
        <v>1795</v>
      </c>
      <c r="F243" s="925"/>
      <c r="G243" s="925" t="s">
        <v>365</v>
      </c>
      <c r="H243" s="925"/>
      <c r="I243" s="925" t="s">
        <v>1795</v>
      </c>
      <c r="J243" s="925"/>
      <c r="K243" s="925"/>
      <c r="L243" s="925"/>
      <c r="M243" s="925"/>
      <c r="N243" s="925"/>
      <c r="O243" s="940"/>
      <c r="P243" s="770"/>
      <c r="R243" s="10"/>
      <c r="S243" s="50" t="s">
        <v>1654</v>
      </c>
      <c r="T243" s="503" t="s">
        <v>1595</v>
      </c>
      <c r="U243" s="259" t="s">
        <v>1596</v>
      </c>
      <c r="V243" s="925" t="s">
        <v>1083</v>
      </c>
      <c r="W243" s="925"/>
      <c r="X243" s="925"/>
      <c r="Y243" s="925"/>
      <c r="AA243" s="987"/>
      <c r="AB243" s="712"/>
      <c r="AC243" s="712"/>
      <c r="AD243" s="988"/>
      <c r="AE243" s="10"/>
      <c r="AF243" s="10"/>
      <c r="AG243" s="10"/>
      <c r="AH243" s="10"/>
      <c r="AI243" s="10"/>
      <c r="AJ243" s="10"/>
      <c r="AK243" s="10"/>
      <c r="AL243" s="10"/>
      <c r="AM243" s="10"/>
      <c r="AN243" s="10"/>
      <c r="AO243" s="10"/>
      <c r="AP243" s="10"/>
      <c r="AQ243" s="10"/>
      <c r="AR243" s="10"/>
      <c r="AS243" s="10"/>
      <c r="AT243" s="10"/>
    </row>
    <row r="244" spans="2:46" ht="13.5" customHeight="1" x14ac:dyDescent="0.3">
      <c r="B244" s="146" t="s">
        <v>681</v>
      </c>
      <c r="C244" s="708"/>
      <c r="D244" s="708"/>
      <c r="E244" s="948">
        <f>UETable!BF38</f>
        <v>0</v>
      </c>
      <c r="F244" s="948"/>
      <c r="G244" s="708"/>
      <c r="H244" s="708"/>
      <c r="I244" s="929">
        <f>IF(C244="",0,IF(OR(C244&lt;=0,G244&lt;=0),E244,IF(G244&lt;C244,0,UETable!BK38)))</f>
        <v>0</v>
      </c>
      <c r="J244" s="929"/>
      <c r="K244" s="946" t="str">
        <f>IF(OR(C244="NA",G244="NA"),"",IF(AND(C244&lt;&gt;"",G244=""),"Enter contralateral or NA.",IF(AND(C244="",G244&lt;&gt;""),"Need data","")))</f>
        <v/>
      </c>
      <c r="L244" s="946"/>
      <c r="M244" s="946"/>
      <c r="N244" s="946"/>
      <c r="O244" s="1073"/>
      <c r="P244" s="770"/>
      <c r="R244" s="132"/>
      <c r="S244" s="50">
        <v>70</v>
      </c>
      <c r="T244" s="531" t="str">
        <f>IF(OR(C244="",C244="NA"),"",IF(C244&gt;S244,S244,IF(C244&lt;0,0,C244)))</f>
        <v/>
      </c>
      <c r="U244" s="50" t="str">
        <f>IF(OR(G244="",G244="NA"),"",IF(G244&gt;S244,S244,IF(G244&lt;0,0,G244)))</f>
        <v/>
      </c>
      <c r="V244" s="562" t="str">
        <f>IF(Y244="","",ROUND(Y244,0))</f>
        <v/>
      </c>
      <c r="W244" s="806" t="s">
        <v>1202</v>
      </c>
      <c r="X244" s="806"/>
      <c r="Y244" s="563" t="str">
        <f>IF(T244="","",IF(OR(U244="",U244=0,U244&lt;T244),T244,(T244*70)/U244))</f>
        <v/>
      </c>
      <c r="Z244" s="10"/>
      <c r="AA244" s="989"/>
      <c r="AB244" s="990"/>
      <c r="AC244" s="990"/>
      <c r="AD244" s="991"/>
      <c r="AE244" s="18">
        <f>IF(OR(E246&gt;0,E250&gt;0,E254&gt;0),1,0)</f>
        <v>0</v>
      </c>
      <c r="AF244" s="10"/>
      <c r="AG244" s="10"/>
      <c r="AH244" s="10"/>
      <c r="AI244" s="10"/>
      <c r="AJ244" s="10"/>
      <c r="AK244" s="10"/>
      <c r="AL244" s="10"/>
      <c r="AM244" s="10"/>
      <c r="AN244" s="10"/>
      <c r="AO244" s="10"/>
      <c r="AP244" s="10"/>
      <c r="AQ244" s="10"/>
      <c r="AR244" s="10"/>
      <c r="AS244" s="10"/>
      <c r="AT244" s="10"/>
    </row>
    <row r="245" spans="2:46" ht="13.5" customHeight="1" x14ac:dyDescent="0.3">
      <c r="B245" s="146" t="s">
        <v>682</v>
      </c>
      <c r="C245" s="708"/>
      <c r="D245" s="708"/>
      <c r="E245" s="948">
        <f>UETable!BF39</f>
        <v>0</v>
      </c>
      <c r="F245" s="948"/>
      <c r="G245" s="708"/>
      <c r="H245" s="708"/>
      <c r="I245" s="929">
        <f>IF(C245="",0,IF(OR(C245&gt;=70,G245&gt;=70),E245,IF(G245&gt;C245,0,UETable!BK39)))</f>
        <v>0</v>
      </c>
      <c r="J245" s="929"/>
      <c r="K245" s="946" t="str">
        <f>IF(OR(C245="NA",G245="NA"),"",IF(AND(C245&lt;&gt;"",G245=""),"Enter contralateral or NA.",IF(AND(C245="",G245&lt;&gt;""),"Need data","")))</f>
        <v/>
      </c>
      <c r="L245" s="946"/>
      <c r="M245" s="946"/>
      <c r="N245" s="946"/>
      <c r="O245" s="1073"/>
      <c r="P245" s="770"/>
      <c r="S245" s="50">
        <v>70</v>
      </c>
      <c r="T245" s="531"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row>
    <row r="246" spans="2:46" ht="15" customHeight="1" x14ac:dyDescent="0.3">
      <c r="B246" s="146" t="s">
        <v>683</v>
      </c>
      <c r="C246" s="708"/>
      <c r="D246" s="708"/>
      <c r="E246" s="948">
        <f>IF(AND(C246&lt;&gt;"",C246&lt;&gt;"NA",C245&lt;&gt;"NA",C245&lt;&gt;""),"ERROR",IF(AND(C246&lt;&gt;"",C246&lt;&gt;"NA",C244&lt;&gt;"",C244&lt;&gt;"NA"),"ERROR",UETable!BF40))</f>
        <v>0</v>
      </c>
      <c r="F246" s="948"/>
      <c r="G246" s="946" t="str">
        <f>IF(AND(C246&lt;&gt;"",C246&lt;&gt;"NA",C245&lt;&gt;"NA",C245&lt;&gt;""),"ERROR: Cannot rate ROM and ankylosis.",IF(AND(C246&lt;&gt;"",C246&lt;&gt;"NA",C244&lt;&gt;"",C244&lt;&gt;"NA"),"ERROR: Cannot rate ROM and ankylosis.",""))</f>
        <v/>
      </c>
      <c r="H246" s="946"/>
      <c r="I246" s="946"/>
      <c r="J246" s="946"/>
      <c r="K246" s="946"/>
      <c r="L246" s="946"/>
      <c r="M246" s="946"/>
      <c r="N246" s="946"/>
      <c r="O246" s="1073"/>
      <c r="P246" s="770"/>
      <c r="R246" s="132"/>
      <c r="S246" s="50">
        <v>70</v>
      </c>
      <c r="T246" s="531"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row>
    <row r="247" spans="2:46" x14ac:dyDescent="0.3">
      <c r="B247" s="993"/>
      <c r="C247" s="994"/>
      <c r="D247" s="994"/>
      <c r="E247" s="994"/>
      <c r="F247" s="994"/>
      <c r="G247" s="994"/>
      <c r="H247" s="994"/>
      <c r="I247" s="994"/>
      <c r="J247" s="995"/>
      <c r="K247" s="958" t="s">
        <v>1841</v>
      </c>
      <c r="L247" s="958"/>
      <c r="M247" s="958"/>
      <c r="N247" s="958"/>
      <c r="O247" s="65">
        <f>IF(E246="ERROR","ERROR",IF(R247&gt;1,1,R247))</f>
        <v>0</v>
      </c>
      <c r="P247" s="770"/>
      <c r="R247" s="194">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3">
      <c r="B248" s="233" t="s">
        <v>684</v>
      </c>
      <c r="C248" s="708"/>
      <c r="D248" s="708"/>
      <c r="E248" s="1096">
        <f>UETable!BF42</f>
        <v>0</v>
      </c>
      <c r="F248" s="1096"/>
      <c r="G248" s="708"/>
      <c r="H248" s="708"/>
      <c r="I248" s="1097">
        <f>IF(C248="",0,IF(OR(C248&lt;=0,G248&lt;=0),E248,IF(G248&lt;C248,0,UETable!BK42)))</f>
        <v>0</v>
      </c>
      <c r="J248" s="1097"/>
      <c r="K248" s="1093" t="str">
        <f>IF(OR(C248="NA",G248="NA"),"",IF(AND(C248&lt;&gt;"",G248=""),"Enter contralateral or NA.",IF(AND(C248="",G248&lt;&gt;""),"Need data","")))</f>
        <v/>
      </c>
      <c r="L248" s="1093"/>
      <c r="M248" s="1093"/>
      <c r="N248" s="1093"/>
      <c r="O248" s="1094"/>
      <c r="P248" s="770"/>
      <c r="R248" s="132"/>
      <c r="S248" s="50">
        <v>100</v>
      </c>
      <c r="T248" s="531" t="str">
        <f>IF(OR(C248="",C248="NA"),"",IF(C248&gt;S248,S248,IF(C248&lt;0,0,C248)))</f>
        <v/>
      </c>
      <c r="U248" s="50" t="str">
        <f>IF(OR(G248="",G248="NA"),"",IF(G248&gt;S248,S248,IF(G248&lt;0,0,G248)))</f>
        <v/>
      </c>
      <c r="V248" s="562" t="str">
        <f>IF(Y248="","",ROUND(Y248,0))</f>
        <v/>
      </c>
      <c r="W248" s="806" t="s">
        <v>1202</v>
      </c>
      <c r="X248" s="806"/>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row>
    <row r="249" spans="2:46" ht="13.5" customHeight="1" x14ac:dyDescent="0.3">
      <c r="B249" s="146" t="s">
        <v>685</v>
      </c>
      <c r="C249" s="708"/>
      <c r="D249" s="708"/>
      <c r="E249" s="948">
        <f>UETable!BF43</f>
        <v>0</v>
      </c>
      <c r="F249" s="948"/>
      <c r="G249" s="708"/>
      <c r="H249" s="708"/>
      <c r="I249" s="929">
        <f>IF(C249="",0,IF(OR(C249&gt;=100,G249&gt;=100),E249,IF(G249&gt;C249,0,UETable!BK43)))</f>
        <v>0</v>
      </c>
      <c r="J249" s="929"/>
      <c r="K249" s="946" t="str">
        <f>IF(OR(C249="NA",G249="NA"),"",IF(AND(C249&lt;&gt;"",G249=""),"Enter contralateral or NA.",IF(AND(C249="",G249&lt;&gt;""),"Need data","")))</f>
        <v/>
      </c>
      <c r="L249" s="946"/>
      <c r="M249" s="946"/>
      <c r="N249" s="946"/>
      <c r="O249" s="1073"/>
      <c r="P249" s="770"/>
      <c r="S249" s="50">
        <v>100</v>
      </c>
      <c r="T249" s="531"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row>
    <row r="250" spans="2:46" ht="15" customHeight="1" x14ac:dyDescent="0.3">
      <c r="B250" s="146" t="s">
        <v>686</v>
      </c>
      <c r="C250" s="708"/>
      <c r="D250" s="708"/>
      <c r="E250" s="948">
        <f>IF(AND(C250&lt;&gt;"",C250&lt;&gt;"NA",C249&lt;&gt;"NA",C249&lt;&gt;""),"ERROR",IF(AND(C250&lt;&gt;"",C250&lt;&gt;"NA",C248&lt;&gt;"",C248&lt;&gt;"NA"),"ERROR",UETable!BF44))</f>
        <v>0</v>
      </c>
      <c r="F250" s="948"/>
      <c r="G250" s="946" t="str">
        <f>IF(AND(C250&lt;&gt;"",C250&lt;&gt;"NA",C249&lt;&gt;"NA",C249&lt;&gt;""),"ERROR: Cannot rate ROM and ankylosis.",IF(AND(C250&lt;&gt;"",C250&lt;&gt;"NA",C248&lt;&gt;"",C248&lt;&gt;"NA"),"ERROR: Cannot rate ROM and ankylosis.",""))</f>
        <v/>
      </c>
      <c r="H250" s="946"/>
      <c r="I250" s="946"/>
      <c r="J250" s="946"/>
      <c r="K250" s="946"/>
      <c r="L250" s="946"/>
      <c r="M250" s="946"/>
      <c r="N250" s="946"/>
      <c r="O250" s="1073"/>
      <c r="P250" s="770"/>
      <c r="R250" s="10"/>
      <c r="S250" s="50">
        <v>100</v>
      </c>
      <c r="T250" s="531"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3">
      <c r="B251" s="993"/>
      <c r="C251" s="994"/>
      <c r="D251" s="994"/>
      <c r="E251" s="994"/>
      <c r="F251" s="994"/>
      <c r="G251" s="994"/>
      <c r="H251" s="994"/>
      <c r="I251" s="994"/>
      <c r="J251" s="995"/>
      <c r="K251" s="958" t="s">
        <v>1841</v>
      </c>
      <c r="L251" s="958"/>
      <c r="M251" s="958"/>
      <c r="N251" s="958"/>
      <c r="O251" s="65">
        <f>IF(E250="ERROR","ERROR",IF(R251&gt;1,1,R251))</f>
        <v>0</v>
      </c>
      <c r="P251" s="770"/>
      <c r="R251" s="194">
        <f>SUM(I248,I249,E250)</f>
        <v>0</v>
      </c>
      <c r="S251" s="5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row>
    <row r="252" spans="2:46" ht="13.5" customHeight="1" x14ac:dyDescent="0.3">
      <c r="B252" s="233" t="s">
        <v>1577</v>
      </c>
      <c r="C252" s="708"/>
      <c r="D252" s="708"/>
      <c r="E252" s="1096">
        <f>UETable!BF46</f>
        <v>0</v>
      </c>
      <c r="F252" s="1096"/>
      <c r="G252" s="708"/>
      <c r="H252" s="708"/>
      <c r="I252" s="1097">
        <f>IF(C252="",0,IF(OR(C252&lt;=0,G252&lt;=0),E252,IF(G252&lt;C252,0,UETable!BK46)))</f>
        <v>0</v>
      </c>
      <c r="J252" s="1097"/>
      <c r="K252" s="1093" t="str">
        <f>IF(OR(C252="NA",G252="NA"),"",IF(AND(C252&lt;&gt;"",G252=""),"Enter contralateral or NA.",IF(AND(C252="",G252&lt;&gt;""),"Need data","")))</f>
        <v/>
      </c>
      <c r="L252" s="1093"/>
      <c r="M252" s="1093"/>
      <c r="N252" s="1093"/>
      <c r="O252" s="1094"/>
      <c r="P252" s="770"/>
      <c r="R252" s="10"/>
      <c r="S252" s="50">
        <v>90</v>
      </c>
      <c r="T252" s="531" t="str">
        <f>IF(OR(C252="",C252="NA"),"",IF(C252&gt;S252,S252,IF(C252&lt;0,0,C252)))</f>
        <v/>
      </c>
      <c r="U252" s="50" t="str">
        <f>IF(OR(G252="",G252="NA"),"",IF(G252&gt;S252,S252,IF(G252&lt;0,0,G252)))</f>
        <v/>
      </c>
      <c r="V252" s="562" t="str">
        <f>IF(Y252="","",ROUND(Y252,0))</f>
        <v/>
      </c>
      <c r="W252" s="806" t="s">
        <v>1202</v>
      </c>
      <c r="X252" s="806"/>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3">
      <c r="B253" s="146" t="s">
        <v>1578</v>
      </c>
      <c r="C253" s="708"/>
      <c r="D253" s="708"/>
      <c r="E253" s="948">
        <f>UETable!BF47</f>
        <v>0</v>
      </c>
      <c r="F253" s="948"/>
      <c r="G253" s="708"/>
      <c r="H253" s="708"/>
      <c r="I253" s="929">
        <f>IF(C253="",0,IF(OR(C253&gt;=90,G253&gt;=90),E253,IF(G253&gt;C253,0,UETable!BK47)))</f>
        <v>0</v>
      </c>
      <c r="J253" s="929"/>
      <c r="K253" s="946" t="str">
        <f>IF(OR(C253="NA",G253="NA"),"",IF(AND(C253&lt;&gt;"",G253=""),"Enter contralateral or NA.",IF(AND(C253="",G253&lt;&gt;""),"Need data","")))</f>
        <v/>
      </c>
      <c r="L253" s="946"/>
      <c r="M253" s="946"/>
      <c r="N253" s="946"/>
      <c r="O253" s="1073"/>
      <c r="P253" s="770"/>
      <c r="R253" s="10"/>
      <c r="S253" s="50">
        <v>90</v>
      </c>
      <c r="T253" s="531"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3">
      <c r="B254" s="146" t="s">
        <v>643</v>
      </c>
      <c r="C254" s="708"/>
      <c r="D254" s="708"/>
      <c r="E254" s="948">
        <f>IF(AND(C254&lt;&gt;"",C254&lt;&gt;"NA",C253&lt;&gt;"NA",C253&lt;&gt;""),"ERROR",IF(AND(C254&lt;&gt;"",C254&lt;&gt;"NA",C252&lt;&gt;"",C252&lt;&gt;"NA"),"ERROR",UETable!BF48))</f>
        <v>0</v>
      </c>
      <c r="F254" s="948"/>
      <c r="G254" s="946" t="str">
        <f>IF(AND(C254&lt;&gt;"",C254&lt;&gt;"NA",C253&lt;&gt;"NA",C253&lt;&gt;""),"ERROR: Cannot rate ROM and ankylosis.",IF(AND(C254&lt;&gt;"",C254&lt;&gt;"NA",C252&lt;&gt;"",C252&lt;&gt;"NA"),"ERROR: Cannot rate ROM and ankylosis.",""))</f>
        <v/>
      </c>
      <c r="H254" s="946"/>
      <c r="I254" s="946"/>
      <c r="J254" s="946"/>
      <c r="K254" s="946"/>
      <c r="L254" s="946"/>
      <c r="M254" s="946"/>
      <c r="N254" s="946"/>
      <c r="O254" s="1073"/>
      <c r="P254" s="770"/>
      <c r="R254" s="50">
        <f>IF(OR(O247="ERROR",O251="ERROR",O255="ERROR"),1,0)</f>
        <v>0</v>
      </c>
      <c r="S254" s="531">
        <v>90</v>
      </c>
      <c r="T254" s="531"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3">
      <c r="B255" s="636"/>
      <c r="C255" s="637"/>
      <c r="D255" s="637"/>
      <c r="E255" s="1138" t="str">
        <f>IF(AND(OR(E246&gt;0,E250&gt;0,E254&gt;0),C256&gt;0),"Note: Ankylosis is not apportioned.","")</f>
        <v/>
      </c>
      <c r="F255" s="1138"/>
      <c r="G255" s="1138"/>
      <c r="H255" s="1138"/>
      <c r="I255" s="1138"/>
      <c r="J255" s="958" t="s">
        <v>1841</v>
      </c>
      <c r="K255" s="958"/>
      <c r="L255" s="958"/>
      <c r="M255" s="958"/>
      <c r="N255" s="958"/>
      <c r="O255" s="65">
        <f>IF(E254="ERROR","ERROR",IF(R255&gt;1,1,R255))</f>
        <v>0</v>
      </c>
      <c r="P255" s="77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3">
      <c r="B256" s="13" t="s">
        <v>2255</v>
      </c>
      <c r="C256" s="935"/>
      <c r="D256" s="960"/>
      <c r="E256" s="1138"/>
      <c r="F256" s="1138"/>
      <c r="G256" s="1138"/>
      <c r="H256" s="1138"/>
      <c r="I256" s="1138"/>
      <c r="J256" s="958" t="s">
        <v>928</v>
      </c>
      <c r="K256" s="958"/>
      <c r="L256" s="958"/>
      <c r="M256" s="958"/>
      <c r="N256" s="958"/>
      <c r="O256" s="1099"/>
      <c r="P256" s="77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3">
      <c r="B257" s="792"/>
      <c r="C257" s="792"/>
      <c r="D257" s="792"/>
      <c r="E257" s="792"/>
      <c r="F257" s="792"/>
      <c r="G257" s="792"/>
      <c r="H257" s="792"/>
      <c r="I257" s="792"/>
      <c r="J257" s="792"/>
      <c r="K257" s="792"/>
      <c r="L257" s="792"/>
      <c r="M257" s="792"/>
      <c r="N257" s="792"/>
      <c r="O257" s="792"/>
      <c r="R257" s="10"/>
      <c r="S257" s="878" t="s">
        <v>2196</v>
      </c>
      <c r="T257" s="878"/>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3">
      <c r="A258" s="15"/>
      <c r="B258" s="964" t="s">
        <v>970</v>
      </c>
      <c r="C258" s="965"/>
      <c r="D258" s="934"/>
      <c r="E258" s="934"/>
      <c r="F258" s="971" t="s">
        <v>1228</v>
      </c>
      <c r="G258" s="971"/>
      <c r="H258" s="971"/>
      <c r="I258" s="971"/>
      <c r="J258" s="971"/>
      <c r="K258" s="971"/>
      <c r="L258" s="971"/>
      <c r="M258" s="971"/>
      <c r="N258" s="971"/>
      <c r="O258" s="971"/>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3">
      <c r="B259" s="966"/>
      <c r="C259" s="967"/>
      <c r="D259" s="934"/>
      <c r="E259" s="934"/>
      <c r="F259" s="971" t="s">
        <v>1230</v>
      </c>
      <c r="G259" s="971"/>
      <c r="H259" s="971"/>
      <c r="I259" s="971"/>
      <c r="J259" s="971"/>
      <c r="K259" s="971"/>
      <c r="L259" s="971"/>
      <c r="M259" s="971"/>
      <c r="N259" s="971"/>
      <c r="O259" s="971"/>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3">
      <c r="B260" s="966"/>
      <c r="C260" s="967"/>
      <c r="D260" s="934"/>
      <c r="E260" s="934"/>
      <c r="F260" s="971" t="s">
        <v>1229</v>
      </c>
      <c r="G260" s="971"/>
      <c r="H260" s="971"/>
      <c r="I260" s="971"/>
      <c r="J260" s="971"/>
      <c r="K260" s="971"/>
      <c r="L260" s="971"/>
      <c r="M260" s="971"/>
      <c r="N260" s="971"/>
      <c r="O260" s="971"/>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3">
      <c r="B261" s="968"/>
      <c r="C261" s="969"/>
      <c r="D261" s="934"/>
      <c r="E261" s="934"/>
      <c r="F261" s="971" t="s">
        <v>1231</v>
      </c>
      <c r="G261" s="971"/>
      <c r="H261" s="971"/>
      <c r="I261" s="971"/>
      <c r="J261" s="971"/>
      <c r="K261" s="971"/>
      <c r="L261" s="971"/>
      <c r="M261" s="971"/>
      <c r="N261" s="971"/>
      <c r="O261" s="971"/>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3">
      <c r="B262" s="792"/>
      <c r="C262" s="792"/>
      <c r="D262" s="792"/>
      <c r="E262" s="792"/>
      <c r="F262" s="792"/>
      <c r="G262" s="792"/>
      <c r="H262" s="792"/>
      <c r="I262" s="792"/>
      <c r="J262" s="792"/>
      <c r="K262" s="792"/>
      <c r="L262" s="792"/>
      <c r="M262" s="792"/>
      <c r="N262" s="792"/>
      <c r="O262" s="792"/>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3">
      <c r="B263" s="485"/>
      <c r="C263" s="1012" t="s">
        <v>248</v>
      </c>
      <c r="D263" s="983"/>
      <c r="E263" s="982" t="s">
        <v>249</v>
      </c>
      <c r="F263" s="983"/>
      <c r="G263" s="355"/>
      <c r="H263" s="357"/>
      <c r="I263" s="1011" t="s">
        <v>250</v>
      </c>
      <c r="J263" s="983"/>
      <c r="K263" s="477"/>
      <c r="L263" s="357"/>
      <c r="M263" s="982" t="s">
        <v>249</v>
      </c>
      <c r="N263" s="983"/>
      <c r="O263" s="356"/>
      <c r="P263" s="492"/>
      <c r="Z263" s="482"/>
      <c r="AE263" s="481"/>
      <c r="AF263" s="481"/>
      <c r="AG263" s="481"/>
      <c r="AH263" s="481"/>
      <c r="AI263" s="481"/>
      <c r="AJ263" s="481"/>
      <c r="AK263" s="481"/>
      <c r="AL263" s="481"/>
      <c r="AM263" s="481"/>
      <c r="AN263" s="481"/>
    </row>
    <row r="264" spans="1:109" ht="12" customHeight="1" x14ac:dyDescent="0.3">
      <c r="B264" s="486"/>
      <c r="C264" s="970" t="s">
        <v>251</v>
      </c>
      <c r="D264" s="963"/>
      <c r="E264" s="970" t="s">
        <v>252</v>
      </c>
      <c r="F264" s="963"/>
      <c r="G264" s="970" t="s">
        <v>253</v>
      </c>
      <c r="H264" s="963"/>
      <c r="I264" s="962" t="s">
        <v>254</v>
      </c>
      <c r="J264" s="963"/>
      <c r="K264" s="970" t="s">
        <v>255</v>
      </c>
      <c r="L264" s="963"/>
      <c r="M264" s="970" t="s">
        <v>256</v>
      </c>
      <c r="N264" s="963"/>
      <c r="P264" s="493"/>
      <c r="Z264" s="332"/>
      <c r="AE264" s="481"/>
      <c r="AF264" s="481"/>
      <c r="AG264" s="481"/>
      <c r="AH264" s="481"/>
      <c r="AI264" s="481"/>
      <c r="AJ264" s="481"/>
      <c r="AK264" s="481"/>
      <c r="AL264" s="481"/>
      <c r="AM264" s="481"/>
      <c r="AN264" s="481"/>
    </row>
    <row r="265" spans="1:109" ht="12" customHeight="1" x14ac:dyDescent="0.3">
      <c r="B265" s="486"/>
      <c r="C265" s="943" t="s">
        <v>257</v>
      </c>
      <c r="D265" s="944"/>
      <c r="E265" s="943" t="s">
        <v>258</v>
      </c>
      <c r="F265" s="944"/>
      <c r="G265" s="943" t="s">
        <v>259</v>
      </c>
      <c r="H265" s="944"/>
      <c r="I265" s="1013" t="s">
        <v>260</v>
      </c>
      <c r="J265" s="944"/>
      <c r="K265" s="943" t="s">
        <v>259</v>
      </c>
      <c r="L265" s="944"/>
      <c r="M265" s="943" t="s">
        <v>258</v>
      </c>
      <c r="N265" s="944"/>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3">
      <c r="B266" s="548" t="s">
        <v>1985</v>
      </c>
      <c r="C266" s="1001" t="s">
        <v>261</v>
      </c>
      <c r="D266" s="1002"/>
      <c r="E266" s="1001" t="s">
        <v>261</v>
      </c>
      <c r="F266" s="1002"/>
      <c r="G266" s="1001" t="s">
        <v>261</v>
      </c>
      <c r="H266" s="1002"/>
      <c r="I266" s="1001" t="s">
        <v>261</v>
      </c>
      <c r="J266" s="1002"/>
      <c r="K266" s="1001" t="s">
        <v>261</v>
      </c>
      <c r="L266" s="1002"/>
      <c r="M266" s="1001" t="s">
        <v>261</v>
      </c>
      <c r="N266" s="1002"/>
      <c r="P266" s="493"/>
      <c r="S266" s="907" t="s">
        <v>2196</v>
      </c>
      <c r="T266" s="908"/>
      <c r="U266" s="908"/>
      <c r="V266" s="908"/>
      <c r="W266" s="908"/>
      <c r="X266" s="909"/>
      <c r="Y266" s="480"/>
      <c r="Z266" s="480"/>
      <c r="AA266" s="952" t="s">
        <v>2196</v>
      </c>
      <c r="AB266" s="953"/>
      <c r="AC266" s="953"/>
      <c r="AD266" s="953"/>
      <c r="AE266" s="953"/>
      <c r="AF266" s="954"/>
      <c r="AG266" s="480"/>
      <c r="AH266" s="910" t="s">
        <v>2196</v>
      </c>
      <c r="AI266" s="911"/>
      <c r="AJ266" s="911"/>
      <c r="AK266" s="911"/>
      <c r="AL266" s="911"/>
      <c r="AM266" s="912"/>
      <c r="AO266" s="907" t="s">
        <v>2196</v>
      </c>
      <c r="AP266" s="908"/>
      <c r="AQ266" s="908"/>
      <c r="AR266" s="908"/>
      <c r="AS266" s="909"/>
      <c r="AU266" s="907" t="s">
        <v>2196</v>
      </c>
      <c r="AV266" s="908"/>
      <c r="AW266" s="908"/>
      <c r="AX266" s="909"/>
      <c r="AZ266" s="907" t="s">
        <v>2196</v>
      </c>
      <c r="BA266" s="908"/>
      <c r="BB266" s="908"/>
      <c r="BC266" s="908"/>
      <c r="BD266" s="908"/>
      <c r="BE266" s="908"/>
      <c r="BF266" s="908"/>
      <c r="BG266" s="909"/>
      <c r="BI266" s="907" t="s">
        <v>2196</v>
      </c>
      <c r="BJ266" s="908"/>
      <c r="BK266" s="908"/>
      <c r="BL266" s="908"/>
      <c r="BM266" s="908"/>
      <c r="BN266" s="909"/>
    </row>
    <row r="267" spans="1:109" customFormat="1" ht="15" customHeight="1" x14ac:dyDescent="0.3">
      <c r="B267" s="146" t="s">
        <v>1607</v>
      </c>
      <c r="C267" s="945"/>
      <c r="D267" s="945"/>
      <c r="E267" s="945"/>
      <c r="F267" s="945"/>
      <c r="G267" s="945"/>
      <c r="H267" s="945"/>
      <c r="I267" s="945"/>
      <c r="J267" s="945"/>
      <c r="K267" s="945"/>
      <c r="L267" s="945"/>
      <c r="M267" s="945"/>
      <c r="N267" s="945"/>
      <c r="P267" s="494"/>
      <c r="S267" s="304">
        <f>IF(C267="",0,C267)</f>
        <v>0</v>
      </c>
      <c r="T267" s="304">
        <f>IF(AND(E267&lt;&gt;C267,E267&lt;&gt;""),E267,IF(OR(E268&lt;&gt;"",E269&lt;&gt;""),0,S267))</f>
        <v>0</v>
      </c>
      <c r="U267" s="304">
        <f>IF(AND(G267&lt;&gt;E267,G267&lt;&gt;""),G267,IF(OR(G268&lt;&gt;"",G269&lt;&gt;""),0,T267))</f>
        <v>0</v>
      </c>
      <c r="V267" s="304">
        <f>IF(AND(I267&lt;&gt;G267,I267&lt;&gt;""),I267,IF(OR(I268&lt;&gt;"",I269&lt;&gt;""),0,U267))</f>
        <v>0</v>
      </c>
      <c r="W267" s="304">
        <f>IF(AND(K267&lt;&gt;I267,K267&lt;&gt;""),K267,IF(OR(K268&lt;&gt;"",K269&lt;&gt;""),0,V267))</f>
        <v>0</v>
      </c>
      <c r="X267" s="304">
        <f>IF(AND(M267&lt;&gt;K267,M267&lt;&gt;""),M267,IF(OR(M268&lt;&gt;"",M269&lt;&gt;""),0,W267))</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907" t="s">
        <v>2196</v>
      </c>
      <c r="BS267" s="908"/>
      <c r="BT267" s="908"/>
      <c r="BU267" s="908"/>
      <c r="BV267" s="908"/>
      <c r="BW267" s="908"/>
      <c r="BX267" s="908"/>
      <c r="BY267" s="908"/>
      <c r="BZ267" s="908"/>
      <c r="CA267" s="909"/>
    </row>
    <row r="268" spans="1:109" customFormat="1" ht="15" customHeight="1" x14ac:dyDescent="0.3">
      <c r="B268" s="304" t="s">
        <v>1610</v>
      </c>
      <c r="C268" s="945"/>
      <c r="D268" s="945"/>
      <c r="E268" s="945"/>
      <c r="F268" s="945"/>
      <c r="G268" s="945"/>
      <c r="H268" s="945"/>
      <c r="I268" s="945"/>
      <c r="J268" s="945"/>
      <c r="K268" s="945"/>
      <c r="L268" s="945"/>
      <c r="M268" s="945"/>
      <c r="N268" s="945"/>
      <c r="P268" s="500"/>
      <c r="S268" s="304">
        <f>IF(C268="",0,C268)</f>
        <v>0</v>
      </c>
      <c r="T268" s="304">
        <f>IF(E268&lt;&gt;C268,E268,IF(AND(E269&lt;&gt;C269,S267&gt;1),S267,0))</f>
        <v>0</v>
      </c>
      <c r="U268" s="304">
        <f>IF(G268&lt;&gt;E268,G268,IF(AND(G269&lt;&gt;E269,T267&gt;1),T267,0))</f>
        <v>0</v>
      </c>
      <c r="V268" s="304">
        <f>IF(I268&lt;&gt;G268,I268,IF(AND(I269&lt;&gt;G269,U267&gt;1),U267,0))</f>
        <v>0</v>
      </c>
      <c r="W268" s="304">
        <f>IF(K268&lt;&gt;I268,K268,IF(AND(K269&lt;&gt;I269,V267&gt;1),V267,0))</f>
        <v>0</v>
      </c>
      <c r="X268" s="304">
        <f>IF(M268&lt;&gt;K268,M268,IF(AND(M269&lt;&gt;K269,W267&gt;1),W267,0))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3">
      <c r="B269" s="487" t="s">
        <v>1613</v>
      </c>
      <c r="C269" s="1016"/>
      <c r="D269" s="1016"/>
      <c r="E269" s="1016"/>
      <c r="F269" s="1016"/>
      <c r="G269" s="1016"/>
      <c r="H269" s="1016"/>
      <c r="I269" s="1016"/>
      <c r="J269" s="1016"/>
      <c r="K269" s="1016"/>
      <c r="L269" s="1016"/>
      <c r="M269" s="1016"/>
      <c r="N269" s="1016"/>
      <c r="P269" s="500"/>
      <c r="S269" s="304">
        <f>IF(C269="",0,C269)</f>
        <v>0</v>
      </c>
      <c r="T269" s="304">
        <f>IF(E269&lt;&gt;C269,E269,IF(AND(E268&lt;&gt;C268,S267&gt;1),S267,0))</f>
        <v>0</v>
      </c>
      <c r="U269" s="304">
        <f>IF(G269&lt;&gt;E269,G269,IF(AND(G268&lt;&gt;E268,T267&gt;1),T267,0))</f>
        <v>0</v>
      </c>
      <c r="V269" s="304">
        <f>IF(I269&lt;&gt;G269,I269,IF(AND(I268&lt;&gt;G268,U267&gt;1),U267,0))</f>
        <v>0</v>
      </c>
      <c r="W269" s="304">
        <f>IF(K269&lt;&gt;I269,K269,IF(AND(K268&lt;&gt;I268,V267&gt;1),V267,0))</f>
        <v>0</v>
      </c>
      <c r="X269" s="304">
        <f>IF(M269&lt;&gt;K269,M269,IF(AND(M268&lt;&gt;K268,W267&gt;1),W267,0))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3">
      <c r="B270" s="978" t="str">
        <f>IF(AD270=1,"ERROR: If radial or ulnar impairment is recorded, do not enter losses for 'both sides.'","")</f>
        <v/>
      </c>
      <c r="C270" s="979"/>
      <c r="D270" s="979"/>
      <c r="E270" s="979"/>
      <c r="F270" s="979"/>
      <c r="G270" s="979"/>
      <c r="H270" s="979"/>
      <c r="I270" s="979"/>
      <c r="J270" s="979"/>
      <c r="K270" s="979"/>
      <c r="L270" s="979"/>
      <c r="M270" s="979"/>
      <c r="N270" s="979"/>
      <c r="O270" s="980"/>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480"/>
      <c r="AF270" s="480"/>
    </row>
    <row r="271" spans="1:109" customFormat="1" ht="15" customHeight="1" x14ac:dyDescent="0.3">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3">
      <c r="B272" s="146" t="s">
        <v>1607</v>
      </c>
      <c r="C272" s="945"/>
      <c r="D272" s="945"/>
      <c r="E272" s="945"/>
      <c r="F272" s="945"/>
      <c r="G272" s="945"/>
      <c r="H272" s="945"/>
      <c r="I272" s="945"/>
      <c r="J272" s="945"/>
      <c r="K272" s="945"/>
      <c r="L272" s="945"/>
      <c r="M272" s="945"/>
      <c r="N272" s="945"/>
      <c r="P272" s="494"/>
      <c r="S272" s="304">
        <f>IF(C272="",0,C272)</f>
        <v>0</v>
      </c>
      <c r="T272" s="304">
        <f>IF(AND(E272&lt;&gt;C272,E272&lt;&gt;""),E272,IF(OR(E273&lt;&gt;"",E274&lt;&gt;""),0,S272))</f>
        <v>0</v>
      </c>
      <c r="U272" s="304">
        <f>IF(AND(G272&lt;&gt;E272,G272&lt;&gt;""),G272,IF(OR(G273&lt;&gt;"",G274&lt;&gt;""),0,T272))</f>
        <v>0</v>
      </c>
      <c r="V272" s="304">
        <f>IF(AND(I272&lt;&gt;G272,I272&lt;&gt;""),I272,IF(OR(I273&lt;&gt;"",I274&lt;&gt;""),0,U272))</f>
        <v>0</v>
      </c>
      <c r="W272" s="304">
        <f>IF(AND(K272&lt;&gt;I272,K272&lt;&gt;""),K272,IF(OR(K273&lt;&gt;"",K274&lt;&gt;""),0,V272))</f>
        <v>0</v>
      </c>
      <c r="X272" s="304">
        <f>IF(AND(M272&lt;&gt;K272,M272&lt;&gt;""),M272,IF(OR(M273&lt;&gt;"",M274&lt;&gt;""),0,W272))</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3">
      <c r="B273" s="304" t="s">
        <v>1610</v>
      </c>
      <c r="C273" s="945"/>
      <c r="D273" s="945"/>
      <c r="E273" s="945"/>
      <c r="F273" s="945"/>
      <c r="G273" s="945"/>
      <c r="H273" s="945"/>
      <c r="I273" s="945"/>
      <c r="J273" s="945"/>
      <c r="K273" s="945"/>
      <c r="L273" s="945"/>
      <c r="M273" s="945"/>
      <c r="N273" s="945"/>
      <c r="P273" s="500"/>
      <c r="S273" s="304">
        <f>IF(C273="",0,C273)</f>
        <v>0</v>
      </c>
      <c r="T273" s="304">
        <f>IF(E273&lt;&gt;C273,E273,IF(AND(E274&lt;&gt;C274,S272&gt;1),S272,0))</f>
        <v>0</v>
      </c>
      <c r="U273" s="304">
        <f>IF(G273&lt;&gt;E273,G273,IF(AND(G274&lt;&gt;E274,T272&gt;1),T272,0))</f>
        <v>0</v>
      </c>
      <c r="V273" s="304">
        <f>IF(I273&lt;&gt;G273,I273,IF(AND(I274&lt;&gt;G274,U272&gt;1),U272,0))</f>
        <v>0</v>
      </c>
      <c r="W273" s="304">
        <f>IF(K273&lt;&gt;I273,K273,IF(AND(K274&lt;&gt;I274,V272&gt;1),V272,0))</f>
        <v>0</v>
      </c>
      <c r="X273" s="304">
        <f>IF(M273&lt;&gt;K273,M273,IF(AND(M274&lt;&gt;K274,W272&gt;1),W272,0))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3">
      <c r="B274" s="487" t="s">
        <v>1613</v>
      </c>
      <c r="C274" s="1016"/>
      <c r="D274" s="1016"/>
      <c r="E274" s="1016"/>
      <c r="F274" s="1016"/>
      <c r="G274" s="1016"/>
      <c r="H274" s="1016"/>
      <c r="I274" s="1016"/>
      <c r="J274" s="1016"/>
      <c r="K274" s="1016"/>
      <c r="L274" s="1016"/>
      <c r="M274" s="1016"/>
      <c r="N274" s="1016"/>
      <c r="P274" s="500"/>
      <c r="S274" s="304">
        <f>IF(C274="",0,C274)</f>
        <v>0</v>
      </c>
      <c r="T274" s="304">
        <f>IF(E274&lt;&gt;C274,E274,IF(AND(E273&lt;&gt;C273,S272&gt;1),S272,0))</f>
        <v>0</v>
      </c>
      <c r="U274" s="304">
        <f>IF(G274&lt;&gt;E274,G274,IF(AND(G273&lt;&gt;E273,T272&gt;1),T272,0))</f>
        <v>0</v>
      </c>
      <c r="V274" s="304">
        <f>IF(I274&lt;&gt;G274,I274,IF(AND(I273&lt;&gt;G273,U272&gt;1),U272,0))</f>
        <v>0</v>
      </c>
      <c r="W274" s="304">
        <f>IF(K274&lt;&gt;I274,K274,IF(AND(K273&lt;&gt;I273,V272&gt;1),V272,0))</f>
        <v>0</v>
      </c>
      <c r="X274" s="304">
        <f>IF(M274&lt;&gt;K274,M274,IF(AND(M273&lt;&gt;K273,W272&gt;1),W272,0))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3">
      <c r="B275" s="978" t="str">
        <f>IF(AD275=1,"ERROR: If radial or ulnar impairment is recorded, do not enter losses for 'both sides.'","")</f>
        <v/>
      </c>
      <c r="C275" s="979"/>
      <c r="D275" s="979"/>
      <c r="E275" s="979"/>
      <c r="F275" s="979"/>
      <c r="G275" s="979"/>
      <c r="H275" s="979"/>
      <c r="I275" s="979"/>
      <c r="J275" s="979"/>
      <c r="K275" s="979"/>
      <c r="L275" s="979"/>
      <c r="M275" s="979"/>
      <c r="N275" s="979"/>
      <c r="O275" s="980"/>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12" customHeight="1" x14ac:dyDescent="0.3">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3">
      <c r="B277" s="50" t="s">
        <v>1232</v>
      </c>
      <c r="C277" s="925" t="s">
        <v>1370</v>
      </c>
      <c r="D277" s="925"/>
      <c r="E277" s="925"/>
      <c r="F277" s="925"/>
      <c r="G277" s="925"/>
      <c r="H277" s="925" t="s">
        <v>1795</v>
      </c>
      <c r="I277" s="925"/>
      <c r="J277" s="925"/>
      <c r="K277" s="18"/>
      <c r="L277" s="925" t="s">
        <v>1233</v>
      </c>
      <c r="M277" s="925"/>
      <c r="N277" s="925"/>
      <c r="O277" s="925"/>
      <c r="P277" s="770">
        <f>V279</f>
        <v>0</v>
      </c>
      <c r="R277" s="10"/>
      <c r="S277" s="568" t="s">
        <v>1596</v>
      </c>
      <c r="T277" s="568" t="s">
        <v>1304</v>
      </c>
      <c r="U277" s="568"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3">
      <c r="B278" s="146" t="s">
        <v>1287</v>
      </c>
      <c r="C278" s="933"/>
      <c r="D278" s="933"/>
      <c r="E278" s="933"/>
      <c r="F278" s="933"/>
      <c r="G278" s="933"/>
      <c r="H278" s="936">
        <f>IF(C278=$X$127,0.09,IF(C278=$Y$127,0.18,IF(C278=$Z$127,0.27,0)))</f>
        <v>0</v>
      </c>
      <c r="I278" s="936"/>
      <c r="J278" s="936"/>
      <c r="K278" s="146"/>
      <c r="L278" s="933"/>
      <c r="M278" s="933"/>
      <c r="N278" s="933"/>
      <c r="O278" s="21">
        <f>IF(H278&gt;=S278,H278-S278,0)</f>
        <v>0</v>
      </c>
      <c r="P278" s="770"/>
      <c r="R278" s="10"/>
      <c r="S278" s="147">
        <f>IF(L278=$Y$128,0.09,IF(L278=$Z$128,0.18,IF(L278=$AA$128,0.27,0)))</f>
        <v>0</v>
      </c>
      <c r="T278" s="147">
        <f>LARGE(O278:O280,1)</f>
        <v>0</v>
      </c>
      <c r="U278" s="553">
        <f>T278+T279*(1-T278)</f>
        <v>0</v>
      </c>
      <c r="V278" s="597">
        <f>ROUND(U278,2)</f>
        <v>0</v>
      </c>
      <c r="W278" s="878" t="s">
        <v>2196</v>
      </c>
      <c r="X278" s="878"/>
      <c r="Y278" s="878"/>
      <c r="Z278" s="878"/>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3">
      <c r="B279" s="50" t="s">
        <v>1288</v>
      </c>
      <c r="C279" s="933"/>
      <c r="D279" s="933"/>
      <c r="E279" s="933"/>
      <c r="F279" s="933"/>
      <c r="G279" s="933"/>
      <c r="H279" s="936">
        <f>IF(C279=$X$127,0.16,IF(C279=$Y$127,0.32,IF(C279=$Z$127,0.48,0)))</f>
        <v>0</v>
      </c>
      <c r="I279" s="936"/>
      <c r="J279" s="936"/>
      <c r="K279" s="146"/>
      <c r="L279" s="933"/>
      <c r="M279" s="933"/>
      <c r="N279" s="933"/>
      <c r="O279" s="21">
        <f>IF(H279&gt;=S279,H279-S279,0)</f>
        <v>0</v>
      </c>
      <c r="P279" s="770"/>
      <c r="R279" s="10"/>
      <c r="S279" s="147">
        <f>IF(L279=$Y$128,0.16,IF(L279=$Z$128,0.32,IF(L279=$AA$128,0.48,0)))</f>
        <v>0</v>
      </c>
      <c r="T279" s="147">
        <f>LARGE(O278:O280,2)</f>
        <v>0</v>
      </c>
      <c r="U279" s="553">
        <f>V278+T280*(1-V278)</f>
        <v>0</v>
      </c>
      <c r="V279" s="597">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3">
      <c r="B280" s="50" t="s">
        <v>1289</v>
      </c>
      <c r="C280" s="933"/>
      <c r="D280" s="933"/>
      <c r="E280" s="933"/>
      <c r="F280" s="933"/>
      <c r="G280" s="933"/>
      <c r="H280" s="936">
        <f>IF(C280=$X$127,0.2,IF(C280=$Y$127,0.4,IF(C280=$Z$127,0.6,0)))</f>
        <v>0</v>
      </c>
      <c r="I280" s="936"/>
      <c r="J280" s="936"/>
      <c r="K280" s="146"/>
      <c r="L280" s="933"/>
      <c r="M280" s="933"/>
      <c r="N280" s="933"/>
      <c r="O280" s="21">
        <f>IF(H280&gt;=S280,H280-S280,0)</f>
        <v>0</v>
      </c>
      <c r="P280" s="770"/>
      <c r="R280" s="10"/>
      <c r="S280" s="147">
        <f>IF(L280=$Y$128,0.2,IF(L280=$Z$128,0.4,IF(L280=$AA$128,0.6,0)))</f>
        <v>0</v>
      </c>
      <c r="T280" s="147">
        <f>LARGE(O278:O280,3)</f>
        <v>0</v>
      </c>
      <c r="U280" s="10"/>
      <c r="V280" s="1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3">
      <c r="B281" s="961"/>
      <c r="C281" s="961"/>
      <c r="D281" s="961"/>
      <c r="E281" s="961"/>
      <c r="F281" s="961"/>
      <c r="G281" s="961"/>
      <c r="H281" s="961"/>
      <c r="I281" s="961"/>
      <c r="J281" s="961"/>
      <c r="K281" s="961"/>
      <c r="L281" s="961"/>
      <c r="M281" s="961"/>
      <c r="N281" s="961"/>
      <c r="O281" s="961"/>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3">
      <c r="A282" s="15"/>
      <c r="B282" s="776" t="s">
        <v>968</v>
      </c>
      <c r="C282" s="930"/>
      <c r="D282" s="931"/>
      <c r="E282" s="757" t="s">
        <v>573</v>
      </c>
      <c r="F282" s="758"/>
      <c r="G282" s="758"/>
      <c r="H282" s="758"/>
      <c r="I282" s="758"/>
      <c r="J282" s="758"/>
      <c r="K282" s="758"/>
      <c r="L282" s="758"/>
      <c r="M282" s="758"/>
      <c r="N282" s="758"/>
      <c r="O282" s="759"/>
      <c r="P282" s="248">
        <f>IF(T282=1,0.15,0)</f>
        <v>0</v>
      </c>
      <c r="R282" s="947"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3">
      <c r="B283" s="776"/>
      <c r="C283" s="930"/>
      <c r="D283" s="931"/>
      <c r="E283" s="757" t="s">
        <v>574</v>
      </c>
      <c r="F283" s="758"/>
      <c r="G283" s="758"/>
      <c r="H283" s="758"/>
      <c r="I283" s="758"/>
      <c r="J283" s="758"/>
      <c r="K283" s="758"/>
      <c r="L283" s="758"/>
      <c r="M283" s="758"/>
      <c r="N283" s="758"/>
      <c r="O283" s="759"/>
      <c r="P283" s="248">
        <f>IF(T283=1,0.25,0)</f>
        <v>0</v>
      </c>
      <c r="R283" s="947"/>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3">
      <c r="B284" s="776"/>
      <c r="C284" s="930"/>
      <c r="D284" s="931"/>
      <c r="E284" s="757" t="s">
        <v>788</v>
      </c>
      <c r="F284" s="758"/>
      <c r="G284" s="758"/>
      <c r="H284" s="758"/>
      <c r="I284" s="758"/>
      <c r="J284" s="758"/>
      <c r="K284" s="758"/>
      <c r="L284" s="758"/>
      <c r="M284" s="758"/>
      <c r="N284" s="758"/>
      <c r="O284" s="759"/>
      <c r="P284" s="248">
        <f>IF(T284=1,0.23,0)</f>
        <v>0</v>
      </c>
      <c r="R284" s="947"/>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3">
      <c r="B285" s="792"/>
      <c r="C285" s="792"/>
      <c r="D285" s="792"/>
      <c r="E285" s="792"/>
      <c r="F285" s="792"/>
      <c r="G285" s="792"/>
      <c r="H285" s="792"/>
      <c r="I285" s="792"/>
      <c r="J285" s="792"/>
      <c r="K285" s="792"/>
      <c r="L285" s="792"/>
      <c r="M285" s="792"/>
      <c r="N285" s="792"/>
      <c r="O285" s="792"/>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3">
      <c r="B286" s="932" t="s">
        <v>1252</v>
      </c>
      <c r="C286" s="932"/>
      <c r="D286" s="932"/>
      <c r="E286" s="932"/>
      <c r="F286" s="932"/>
      <c r="G286" s="932"/>
      <c r="H286" s="932"/>
      <c r="I286" s="932"/>
      <c r="J286" s="932"/>
      <c r="K286" s="932"/>
      <c r="L286" s="932"/>
      <c r="M286" s="932"/>
      <c r="N286" s="932"/>
      <c r="O286" s="317"/>
      <c r="P286" s="21">
        <f>SUMIF(T286:X286,O286,T287:X287)</f>
        <v>0</v>
      </c>
      <c r="R286" s="951" t="s">
        <v>2196</v>
      </c>
      <c r="S286" s="951"/>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3">
      <c r="B287" s="932" t="s">
        <v>1498</v>
      </c>
      <c r="C287" s="932"/>
      <c r="D287" s="932"/>
      <c r="E287" s="932"/>
      <c r="F287" s="932"/>
      <c r="G287" s="932"/>
      <c r="H287" s="932"/>
      <c r="I287" s="932"/>
      <c r="J287" s="932"/>
      <c r="K287" s="932"/>
      <c r="L287" s="932"/>
      <c r="M287" s="932"/>
      <c r="N287" s="932"/>
      <c r="O287" s="317"/>
      <c r="P287" s="21">
        <f>SUMIF(Z286:AD286,O287,Z287:AD287)</f>
        <v>0</v>
      </c>
      <c r="R287" s="951"/>
      <c r="S287" s="951"/>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3">
      <c r="B288" s="792"/>
      <c r="C288" s="792"/>
      <c r="D288" s="792"/>
      <c r="E288" s="792"/>
      <c r="F288" s="792"/>
      <c r="G288" s="792"/>
      <c r="H288" s="792"/>
      <c r="I288" s="792"/>
      <c r="J288" s="792"/>
      <c r="K288" s="792"/>
      <c r="L288" s="792"/>
      <c r="M288" s="792"/>
      <c r="N288" s="792"/>
      <c r="O288" s="792"/>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3">
      <c r="B289" s="879" t="s">
        <v>1664</v>
      </c>
      <c r="C289" s="880"/>
      <c r="D289" s="880"/>
      <c r="E289" s="880"/>
      <c r="F289" s="881"/>
      <c r="G289" s="922" t="s">
        <v>1524</v>
      </c>
      <c r="H289" s="941"/>
      <c r="I289" s="941"/>
      <c r="J289" s="942"/>
      <c r="K289" s="1003"/>
      <c r="L289" s="1004"/>
      <c r="M289" s="1004"/>
      <c r="N289" s="1004"/>
      <c r="O289" s="1005"/>
      <c r="P289" s="872">
        <f>U303</f>
        <v>0</v>
      </c>
      <c r="R289" s="146" t="s">
        <v>1864</v>
      </c>
      <c r="S289" s="50" t="s">
        <v>1304</v>
      </c>
      <c r="T289" s="50" t="s">
        <v>1305</v>
      </c>
      <c r="U289" s="50" t="s">
        <v>1306</v>
      </c>
      <c r="V289" s="940" t="s">
        <v>801</v>
      </c>
      <c r="W289" s="941"/>
      <c r="X289" s="942"/>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3">
      <c r="B290" s="937" t="s">
        <v>628</v>
      </c>
      <c r="C290" s="938"/>
      <c r="D290" s="939"/>
      <c r="E290" s="1090">
        <f>P234</f>
        <v>0</v>
      </c>
      <c r="F290" s="1091"/>
      <c r="G290" s="925" t="s">
        <v>1941</v>
      </c>
      <c r="H290" s="925"/>
      <c r="I290" s="949"/>
      <c r="J290" s="949"/>
      <c r="K290" s="1006"/>
      <c r="L290" s="1007"/>
      <c r="M290" s="1007"/>
      <c r="N290" s="1007"/>
      <c r="O290" s="1008"/>
      <c r="P290" s="1010"/>
      <c r="R290" s="557">
        <f>E290</f>
        <v>0</v>
      </c>
      <c r="S290" s="147">
        <f>LARGE($R$290:$R$304,1)</f>
        <v>0</v>
      </c>
      <c r="T290" s="553">
        <f>S290+S291*(1-S290)</f>
        <v>0</v>
      </c>
      <c r="U290" s="557">
        <f t="shared" ref="U290:U303" si="37">ROUND(T290,2)</f>
        <v>0</v>
      </c>
      <c r="V290" s="50">
        <f>IF(E290&gt;0,1,0)</f>
        <v>0</v>
      </c>
      <c r="W290" s="531">
        <f>COUNTIF(V290:V304,1)</f>
        <v>0</v>
      </c>
      <c r="X290" s="531">
        <f>IF(AND(W290=0,W291&gt;0),1,IF(W290&gt;0,2,0))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3">
      <c r="B291" s="757" t="s">
        <v>382</v>
      </c>
      <c r="C291" s="758"/>
      <c r="D291" s="759"/>
      <c r="E291" s="770">
        <f>P237</f>
        <v>0</v>
      </c>
      <c r="F291" s="770"/>
      <c r="G291" s="925" t="s">
        <v>1941</v>
      </c>
      <c r="H291" s="925"/>
      <c r="I291" s="949"/>
      <c r="J291" s="949"/>
      <c r="K291" s="1006"/>
      <c r="L291" s="1007"/>
      <c r="M291" s="1007"/>
      <c r="N291" s="1007"/>
      <c r="O291" s="1008"/>
      <c r="P291" s="1010"/>
      <c r="R291" s="557">
        <f>E291</f>
        <v>0</v>
      </c>
      <c r="S291" s="147">
        <f>LARGE($R$290:$R$304,2)</f>
        <v>0</v>
      </c>
      <c r="T291" s="553">
        <f>U290+S292*(1-U290)</f>
        <v>0</v>
      </c>
      <c r="U291" s="557">
        <f t="shared" si="37"/>
        <v>0</v>
      </c>
      <c r="V291" s="50">
        <f>IF(E291&gt;0,2,0)</f>
        <v>0</v>
      </c>
      <c r="W291" s="531">
        <f>COUNTIF(V290:V304,2)</f>
        <v>0</v>
      </c>
      <c r="X291" s="10"/>
      <c r="Y291" s="10" t="s">
        <v>511</v>
      </c>
      <c r="AA291" s="792"/>
      <c r="AB291" s="792"/>
      <c r="AC291" s="792"/>
      <c r="AD291" s="10"/>
      <c r="AG291" s="10"/>
      <c r="AH291" s="10"/>
      <c r="AI291" s="10"/>
      <c r="AJ291" s="10"/>
      <c r="AK291" s="10"/>
      <c r="AL291" s="10"/>
      <c r="AM291" s="10"/>
      <c r="AN291" s="10"/>
      <c r="AO291" s="10"/>
      <c r="AP291" s="10"/>
      <c r="AQ291" s="10"/>
      <c r="AR291" s="10"/>
      <c r="AS291" s="10"/>
      <c r="AT291" s="10"/>
      <c r="AU291" s="10"/>
    </row>
    <row r="292" spans="2:47" ht="15" customHeight="1" x14ac:dyDescent="0.3">
      <c r="B292" s="757" t="s">
        <v>1958</v>
      </c>
      <c r="C292" s="758"/>
      <c r="D292" s="759"/>
      <c r="E292" s="770">
        <f>IF(E607&gt;0,0,P241)</f>
        <v>0</v>
      </c>
      <c r="F292" s="770"/>
      <c r="G292" s="1095" t="s">
        <v>2256</v>
      </c>
      <c r="H292" s="1095"/>
      <c r="I292" s="949"/>
      <c r="J292" s="949"/>
      <c r="K292" s="1006"/>
      <c r="L292" s="1007"/>
      <c r="M292" s="1007"/>
      <c r="N292" s="1007"/>
      <c r="O292" s="1008"/>
      <c r="P292" s="1010"/>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2"/>
      <c r="AB292" s="792"/>
      <c r="AC292" s="792"/>
      <c r="AD292" s="10"/>
      <c r="AG292" s="10"/>
      <c r="AH292" s="10"/>
      <c r="AI292" s="10"/>
      <c r="AJ292" s="10"/>
      <c r="AK292" s="10"/>
      <c r="AL292" s="10"/>
      <c r="AM292" s="10"/>
      <c r="AN292" s="10"/>
      <c r="AO292" s="10"/>
      <c r="AP292" s="10"/>
      <c r="AQ292" s="10"/>
      <c r="AR292" s="10"/>
      <c r="AS292" s="10"/>
      <c r="AT292" s="10"/>
      <c r="AU292" s="10"/>
    </row>
    <row r="293" spans="2:47" ht="15" customHeight="1" x14ac:dyDescent="0.3">
      <c r="B293" s="806" t="s">
        <v>1416</v>
      </c>
      <c r="C293" s="806"/>
      <c r="D293" s="806"/>
      <c r="E293" s="742">
        <f>P258</f>
        <v>0</v>
      </c>
      <c r="F293" s="744"/>
      <c r="G293" s="935"/>
      <c r="H293" s="935"/>
      <c r="I293" s="936">
        <f t="shared" ref="I293:I299" si="40">IF(AND(Y293&lt;0.01,Y293&gt;0),0.01,ROUND(Y293,2))</f>
        <v>0</v>
      </c>
      <c r="J293" s="936"/>
      <c r="K293" s="1006"/>
      <c r="L293" s="1007"/>
      <c r="M293" s="1007"/>
      <c r="N293" s="1007"/>
      <c r="O293" s="1008"/>
      <c r="P293" s="1010"/>
      <c r="R293" s="557">
        <f t="shared" si="38"/>
        <v>0</v>
      </c>
      <c r="S293" s="147">
        <f>LARGE($R$290:$R$304,4)</f>
        <v>0</v>
      </c>
      <c r="T293" s="553">
        <f t="shared" ref="T293:T303" si="41">U292+S294*(1-U292)</f>
        <v>0</v>
      </c>
      <c r="U293" s="557">
        <f t="shared" si="37"/>
        <v>0</v>
      </c>
      <c r="V293" s="50">
        <f t="shared" si="39"/>
        <v>0</v>
      </c>
      <c r="W293" s="10"/>
      <c r="X293" s="10"/>
      <c r="Y293" s="294">
        <f>E293*G293</f>
        <v>0</v>
      </c>
      <c r="Z293" s="604"/>
      <c r="AA293" s="792"/>
      <c r="AB293" s="792"/>
      <c r="AC293" s="792"/>
      <c r="AD293" s="10"/>
      <c r="AG293" s="10"/>
      <c r="AH293" s="10"/>
      <c r="AI293" s="10"/>
      <c r="AJ293" s="10"/>
      <c r="AK293" s="10"/>
      <c r="AL293" s="10"/>
      <c r="AM293" s="10"/>
      <c r="AN293" s="10"/>
      <c r="AO293" s="10"/>
      <c r="AP293" s="10"/>
      <c r="AQ293" s="10"/>
      <c r="AR293" s="10"/>
      <c r="AS293" s="10"/>
      <c r="AT293" s="10"/>
      <c r="AU293" s="10"/>
    </row>
    <row r="294" spans="2:47" ht="15" customHeight="1" x14ac:dyDescent="0.3">
      <c r="B294" s="757" t="s">
        <v>1417</v>
      </c>
      <c r="C294" s="758"/>
      <c r="D294" s="759"/>
      <c r="E294" s="742">
        <f>P259</f>
        <v>0</v>
      </c>
      <c r="F294" s="744"/>
      <c r="G294" s="935"/>
      <c r="H294" s="935"/>
      <c r="I294" s="936">
        <f t="shared" si="40"/>
        <v>0</v>
      </c>
      <c r="J294" s="936"/>
      <c r="K294" s="1006"/>
      <c r="L294" s="1007"/>
      <c r="M294" s="1007"/>
      <c r="N294" s="1007"/>
      <c r="O294" s="1008"/>
      <c r="P294" s="1010"/>
      <c r="R294" s="557">
        <f t="shared" si="38"/>
        <v>0</v>
      </c>
      <c r="S294" s="147">
        <f>LARGE($R$290:$R$304,5)</f>
        <v>0</v>
      </c>
      <c r="T294" s="553">
        <f t="shared" si="41"/>
        <v>0</v>
      </c>
      <c r="U294" s="557">
        <f t="shared" si="37"/>
        <v>0</v>
      </c>
      <c r="V294" s="50">
        <f t="shared" si="39"/>
        <v>0</v>
      </c>
      <c r="W294" s="10"/>
      <c r="X294" s="10"/>
      <c r="Y294" s="294">
        <f t="shared" ref="Y294:Y299" si="42">E294*G294</f>
        <v>0</v>
      </c>
      <c r="Z294" s="604"/>
      <c r="AA294" s="792"/>
      <c r="AB294" s="792"/>
      <c r="AC294" s="792"/>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3">
      <c r="B295" s="757" t="s">
        <v>1418</v>
      </c>
      <c r="C295" s="758"/>
      <c r="D295" s="759"/>
      <c r="E295" s="742">
        <f>P260</f>
        <v>0</v>
      </c>
      <c r="F295" s="744"/>
      <c r="G295" s="935"/>
      <c r="H295" s="935"/>
      <c r="I295" s="936">
        <f t="shared" si="40"/>
        <v>0</v>
      </c>
      <c r="J295" s="936"/>
      <c r="K295" s="1006"/>
      <c r="L295" s="1007"/>
      <c r="M295" s="1007"/>
      <c r="N295" s="1007"/>
      <c r="O295" s="1008"/>
      <c r="P295" s="1010"/>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3">
      <c r="B296" s="757" t="s">
        <v>1419</v>
      </c>
      <c r="C296" s="758"/>
      <c r="D296" s="759"/>
      <c r="E296" s="742">
        <f>P261</f>
        <v>0</v>
      </c>
      <c r="F296" s="744"/>
      <c r="G296" s="935"/>
      <c r="H296" s="935"/>
      <c r="I296" s="936">
        <f t="shared" si="40"/>
        <v>0</v>
      </c>
      <c r="J296" s="936"/>
      <c r="K296" s="1006"/>
      <c r="L296" s="1007"/>
      <c r="M296" s="1007"/>
      <c r="N296" s="1007"/>
      <c r="O296" s="1008"/>
      <c r="P296" s="1010"/>
      <c r="R296" s="557">
        <f t="shared" si="38"/>
        <v>0</v>
      </c>
      <c r="S296" s="147">
        <f>LARGE($R$290:$R$304,7)</f>
        <v>0</v>
      </c>
      <c r="T296" s="553">
        <f t="shared" si="41"/>
        <v>0</v>
      </c>
      <c r="U296" s="557">
        <f t="shared" si="37"/>
        <v>0</v>
      </c>
      <c r="V296" s="50">
        <f t="shared" si="39"/>
        <v>0</v>
      </c>
      <c r="W296" s="10"/>
      <c r="X296" s="10"/>
      <c r="Y296" s="294">
        <f t="shared" si="42"/>
        <v>0</v>
      </c>
      <c r="Z296" s="604"/>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3">
      <c r="B297" s="757" t="s">
        <v>1985</v>
      </c>
      <c r="C297" s="758"/>
      <c r="D297" s="759"/>
      <c r="E297" s="770">
        <f>P270</f>
        <v>0</v>
      </c>
      <c r="F297" s="770"/>
      <c r="G297" s="935"/>
      <c r="H297" s="935"/>
      <c r="I297" s="936">
        <f t="shared" si="40"/>
        <v>0</v>
      </c>
      <c r="J297" s="936"/>
      <c r="K297" s="1006"/>
      <c r="L297" s="1007"/>
      <c r="M297" s="1007"/>
      <c r="N297" s="1007"/>
      <c r="O297" s="1008"/>
      <c r="P297" s="1010"/>
      <c r="R297" s="557">
        <f t="shared" si="38"/>
        <v>0</v>
      </c>
      <c r="S297" s="147">
        <f>LARGE($R$290:$R$304,8)</f>
        <v>0</v>
      </c>
      <c r="T297" s="553">
        <f t="shared" si="41"/>
        <v>0</v>
      </c>
      <c r="U297" s="557">
        <f t="shared" si="37"/>
        <v>0</v>
      </c>
      <c r="V297" s="50">
        <f t="shared" si="39"/>
        <v>0</v>
      </c>
      <c r="W297" s="10"/>
      <c r="X297" s="10"/>
      <c r="Y297" s="294">
        <f t="shared" si="42"/>
        <v>0</v>
      </c>
      <c r="Z297" s="604"/>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3">
      <c r="B298" s="757" t="s">
        <v>1226</v>
      </c>
      <c r="C298" s="758"/>
      <c r="D298" s="759"/>
      <c r="E298" s="770">
        <f>P275</f>
        <v>0</v>
      </c>
      <c r="F298" s="770"/>
      <c r="G298" s="935"/>
      <c r="H298" s="935"/>
      <c r="I298" s="936">
        <f t="shared" si="40"/>
        <v>0</v>
      </c>
      <c r="J298" s="936"/>
      <c r="K298" s="633"/>
      <c r="L298" s="634"/>
      <c r="M298" s="634"/>
      <c r="N298" s="634"/>
      <c r="O298" s="635"/>
      <c r="P298" s="1010"/>
      <c r="R298" s="557">
        <f t="shared" si="38"/>
        <v>0</v>
      </c>
      <c r="S298" s="147">
        <f>LARGE($R$290:$R$304,9)</f>
        <v>0</v>
      </c>
      <c r="T298" s="553">
        <f t="shared" si="41"/>
        <v>0</v>
      </c>
      <c r="U298" s="557">
        <f t="shared" si="37"/>
        <v>0</v>
      </c>
      <c r="V298" s="50">
        <f t="shared" si="39"/>
        <v>0</v>
      </c>
      <c r="W298" s="10"/>
      <c r="X298" s="10"/>
      <c r="Y298" s="294">
        <f t="shared" si="42"/>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3">
      <c r="B299" s="757" t="s">
        <v>1232</v>
      </c>
      <c r="C299" s="758"/>
      <c r="D299" s="759"/>
      <c r="E299" s="770">
        <f>P277</f>
        <v>0</v>
      </c>
      <c r="F299" s="770"/>
      <c r="G299" s="935"/>
      <c r="H299" s="935"/>
      <c r="I299" s="936">
        <f t="shared" si="40"/>
        <v>0</v>
      </c>
      <c r="J299" s="936"/>
      <c r="K299" s="633"/>
      <c r="L299" s="634"/>
      <c r="M299" s="634"/>
      <c r="N299" s="634"/>
      <c r="O299" s="635"/>
      <c r="P299" s="1010"/>
      <c r="R299" s="557">
        <f t="shared" si="38"/>
        <v>0</v>
      </c>
      <c r="S299" s="147">
        <f>LARGE($R$290:$R$304,10)</f>
        <v>0</v>
      </c>
      <c r="T299" s="553">
        <f t="shared" si="41"/>
        <v>0</v>
      </c>
      <c r="U299" s="557">
        <f t="shared" si="37"/>
        <v>0</v>
      </c>
      <c r="V299" s="50">
        <f t="shared" si="39"/>
        <v>0</v>
      </c>
      <c r="W299" s="10"/>
      <c r="X299" s="10"/>
      <c r="Y299" s="294">
        <f t="shared" si="42"/>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3">
      <c r="B300" s="757" t="s">
        <v>383</v>
      </c>
      <c r="C300" s="758"/>
      <c r="D300" s="759"/>
      <c r="E300" s="770">
        <f>P282</f>
        <v>0</v>
      </c>
      <c r="F300" s="770"/>
      <c r="G300" s="925" t="s">
        <v>1941</v>
      </c>
      <c r="H300" s="925"/>
      <c r="I300" s="949"/>
      <c r="J300" s="949"/>
      <c r="K300" s="972" t="str">
        <f>IF(AND(P241&gt;0,E607&gt;0),"A value has been granted for motor loss. Additional impairment value is not allowed for reduced ROM in the same extremity.","")</f>
        <v/>
      </c>
      <c r="L300" s="973"/>
      <c r="M300" s="973"/>
      <c r="N300" s="973"/>
      <c r="O300" s="974"/>
      <c r="P300" s="1010"/>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3">
      <c r="B301" s="757" t="s">
        <v>384</v>
      </c>
      <c r="C301" s="758"/>
      <c r="D301" s="759"/>
      <c r="E301" s="770">
        <f>P283</f>
        <v>0</v>
      </c>
      <c r="F301" s="770"/>
      <c r="G301" s="925" t="s">
        <v>1941</v>
      </c>
      <c r="H301" s="925"/>
      <c r="I301" s="949"/>
      <c r="J301" s="949"/>
      <c r="K301" s="972"/>
      <c r="L301" s="973"/>
      <c r="M301" s="973"/>
      <c r="N301" s="973"/>
      <c r="O301" s="974"/>
      <c r="P301" s="1010"/>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3">
      <c r="B302" s="757" t="s">
        <v>807</v>
      </c>
      <c r="C302" s="758"/>
      <c r="D302" s="759"/>
      <c r="E302" s="770">
        <f>P284</f>
        <v>0</v>
      </c>
      <c r="F302" s="770"/>
      <c r="G302" s="925" t="s">
        <v>1941</v>
      </c>
      <c r="H302" s="925"/>
      <c r="I302" s="949"/>
      <c r="J302" s="949"/>
      <c r="K302" s="972"/>
      <c r="L302" s="973"/>
      <c r="M302" s="973"/>
      <c r="N302" s="973"/>
      <c r="O302" s="974"/>
      <c r="P302" s="1010"/>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3">
      <c r="B303" s="757" t="s">
        <v>1446</v>
      </c>
      <c r="C303" s="758"/>
      <c r="D303" s="759"/>
      <c r="E303" s="770">
        <f>P286</f>
        <v>0</v>
      </c>
      <c r="F303" s="770"/>
      <c r="G303" s="935"/>
      <c r="H303" s="935"/>
      <c r="I303" s="936">
        <f>IF(AND(Y303&lt;0.01,Y303&gt;0),0.01,ROUND(Y303,2))</f>
        <v>0</v>
      </c>
      <c r="J303" s="936"/>
      <c r="K303" s="972"/>
      <c r="L303" s="973"/>
      <c r="M303" s="973"/>
      <c r="N303" s="973"/>
      <c r="O303" s="974"/>
      <c r="P303" s="1010"/>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3">
      <c r="B304" s="804" t="s">
        <v>1253</v>
      </c>
      <c r="C304" s="804"/>
      <c r="D304" s="804"/>
      <c r="E304" s="1015">
        <f>P287</f>
        <v>0</v>
      </c>
      <c r="F304" s="1015"/>
      <c r="G304" s="1009"/>
      <c r="H304" s="1009"/>
      <c r="I304" s="992">
        <f>IF(AND(Y304&lt;0.01,Y304&gt;0),0.01,ROUND(Y304,2))</f>
        <v>0</v>
      </c>
      <c r="J304" s="992"/>
      <c r="K304" s="975"/>
      <c r="L304" s="976"/>
      <c r="M304" s="976"/>
      <c r="N304" s="976"/>
      <c r="O304" s="977"/>
      <c r="P304" s="1010"/>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3">
      <c r="B305" s="958" t="s">
        <v>1665</v>
      </c>
      <c r="C305" s="958"/>
      <c r="D305" s="958"/>
      <c r="E305" s="958"/>
      <c r="F305" s="958"/>
      <c r="G305" s="958"/>
      <c r="H305" s="958"/>
      <c r="I305" s="958"/>
      <c r="J305" s="958"/>
      <c r="K305" s="958"/>
      <c r="L305" s="958"/>
      <c r="M305" s="958"/>
      <c r="N305" s="958"/>
      <c r="O305" s="958"/>
      <c r="P305" s="996"/>
      <c r="R305" s="14"/>
      <c r="S305" s="142"/>
      <c r="T305" s="129"/>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3">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3">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3">
      <c r="B308" s="907" t="s">
        <v>1666</v>
      </c>
      <c r="C308" s="908"/>
      <c r="D308" s="908"/>
      <c r="E308" s="908"/>
      <c r="F308" s="908"/>
      <c r="G308" s="908"/>
      <c r="H308" s="908"/>
      <c r="I308" s="908"/>
      <c r="J308" s="908"/>
      <c r="K308" s="908"/>
      <c r="L308" s="908"/>
      <c r="M308" s="908"/>
      <c r="N308" s="908"/>
      <c r="O308" s="908"/>
      <c r="P308" s="909"/>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3">
      <c r="B309" s="791" t="s">
        <v>1667</v>
      </c>
      <c r="C309" s="791"/>
      <c r="D309" s="791"/>
      <c r="E309" s="791"/>
      <c r="F309" s="791"/>
      <c r="G309" s="791"/>
      <c r="H309" s="791"/>
      <c r="I309" s="791"/>
      <c r="J309" s="791"/>
      <c r="K309" s="791"/>
      <c r="L309" s="791"/>
      <c r="M309" s="791"/>
      <c r="N309" s="791"/>
      <c r="O309" s="791"/>
      <c r="P309" s="992">
        <f>SUMIF(S309:Y309,B310,S310:Y310)</f>
        <v>0</v>
      </c>
      <c r="R309" s="776"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3">
      <c r="B310" s="1014"/>
      <c r="C310" s="1014"/>
      <c r="D310" s="1014"/>
      <c r="E310" s="1014"/>
      <c r="F310" s="1014"/>
      <c r="G310" s="1014"/>
      <c r="H310" s="1014"/>
      <c r="I310" s="1014"/>
      <c r="J310" s="1014"/>
      <c r="K310" s="1014"/>
      <c r="L310" s="1014"/>
      <c r="M310" s="1014"/>
      <c r="N310" s="1014"/>
      <c r="O310" s="1014"/>
      <c r="P310" s="1082"/>
      <c r="R310" s="806"/>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3">
      <c r="B311" s="981" t="str">
        <f>IF(AND(P309&gt;0.1,B313=""),"Enter specific level of amputation or shortening below.","")</f>
        <v/>
      </c>
      <c r="C311" s="981"/>
      <c r="D311" s="981"/>
      <c r="E311" s="981"/>
      <c r="F311" s="981"/>
      <c r="G311" s="981"/>
      <c r="H311" s="981"/>
      <c r="I311" s="981"/>
      <c r="J311" s="981"/>
      <c r="K311" s="981"/>
      <c r="L311" s="981"/>
      <c r="M311" s="981"/>
      <c r="N311" s="981"/>
      <c r="O311" s="981"/>
      <c r="P311" s="981"/>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3">
      <c r="B312" s="776" t="s">
        <v>798</v>
      </c>
      <c r="C312" s="776"/>
      <c r="D312" s="776"/>
      <c r="E312" s="776"/>
      <c r="F312" s="776"/>
      <c r="G312" s="776"/>
      <c r="H312" s="776"/>
      <c r="I312" s="776"/>
      <c r="J312" s="776"/>
      <c r="K312" s="776"/>
      <c r="L312" s="776"/>
      <c r="M312" s="776"/>
      <c r="N312" s="776"/>
      <c r="O312" s="776"/>
      <c r="P312" s="992">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row>
    <row r="313" spans="2:47" ht="15" customHeight="1" x14ac:dyDescent="0.3">
      <c r="B313" s="1014"/>
      <c r="C313" s="1014"/>
      <c r="D313" s="1014"/>
      <c r="E313" s="1014"/>
      <c r="F313" s="1014"/>
      <c r="G313" s="1014"/>
      <c r="H313" s="1014"/>
      <c r="I313" s="1014"/>
      <c r="J313" s="1014"/>
      <c r="K313" s="1014"/>
      <c r="L313" s="1014"/>
      <c r="M313" s="1014"/>
      <c r="N313" s="1014"/>
      <c r="O313" s="1014"/>
      <c r="P313" s="1081"/>
      <c r="R313" s="77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3">
      <c r="B314" s="1042" t="s">
        <v>680</v>
      </c>
      <c r="C314" s="1043"/>
      <c r="D314" s="1043"/>
      <c r="E314" s="1043"/>
      <c r="F314" s="1043"/>
      <c r="G314" s="1043"/>
      <c r="H314" s="1043"/>
      <c r="I314" s="1043"/>
      <c r="J314" s="1043"/>
      <c r="K314" s="1043"/>
      <c r="L314" s="1043"/>
      <c r="M314" s="1043"/>
      <c r="N314" s="1043"/>
      <c r="O314" s="1044"/>
      <c r="P314" s="1082"/>
      <c r="R314" s="77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3">
      <c r="B315" s="792"/>
      <c r="C315" s="792"/>
      <c r="D315" s="792"/>
      <c r="E315" s="792"/>
      <c r="F315" s="792"/>
      <c r="G315" s="792"/>
      <c r="H315" s="792"/>
      <c r="I315" s="792"/>
      <c r="J315" s="792"/>
      <c r="K315" s="792"/>
      <c r="L315" s="792"/>
      <c r="M315" s="792"/>
      <c r="N315" s="792"/>
      <c r="O315" s="792"/>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3">
      <c r="B316" s="925" t="s">
        <v>1594</v>
      </c>
      <c r="C316" s="925"/>
      <c r="D316" s="925"/>
      <c r="E316" s="925"/>
      <c r="F316" s="925"/>
      <c r="G316" s="925"/>
      <c r="H316" s="925"/>
      <c r="I316" s="925"/>
      <c r="J316" s="925"/>
      <c r="K316" s="925"/>
      <c r="L316" s="925"/>
      <c r="M316" s="925"/>
      <c r="N316" s="925"/>
      <c r="O316" s="925"/>
      <c r="P316" s="770">
        <f>IF(R329=1,"ERROR",IF(AND(AD320&gt;0,AD320&lt;0.01),0.01,ROUND(AD320,2)))</f>
        <v>0</v>
      </c>
      <c r="R316" s="10"/>
      <c r="S316" s="10"/>
      <c r="T316" s="776" t="s">
        <v>1257</v>
      </c>
      <c r="U316" s="776" t="s">
        <v>1257</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3">
      <c r="B317" s="18" t="s">
        <v>1666</v>
      </c>
      <c r="C317" s="925" t="s">
        <v>1595</v>
      </c>
      <c r="D317" s="925"/>
      <c r="E317" s="925"/>
      <c r="F317" s="925"/>
      <c r="G317" s="927" t="s">
        <v>1081</v>
      </c>
      <c r="H317" s="927"/>
      <c r="I317" s="927"/>
      <c r="J317" s="927"/>
      <c r="K317" s="925"/>
      <c r="L317" s="925"/>
      <c r="M317" s="925"/>
      <c r="N317" s="925"/>
      <c r="O317" s="925"/>
      <c r="P317" s="770"/>
      <c r="R317" s="10"/>
      <c r="S317" s="10"/>
      <c r="T317" s="950"/>
      <c r="U317" s="950"/>
      <c r="V317" s="10"/>
      <c r="W317" s="10"/>
      <c r="X317" s="10"/>
      <c r="Y317" s="10"/>
      <c r="Z317" s="10"/>
      <c r="AA317" s="984" t="s">
        <v>2258</v>
      </c>
      <c r="AB317" s="985"/>
      <c r="AC317" s="985"/>
      <c r="AD317" s="986"/>
      <c r="AE317" s="10"/>
      <c r="AF317" s="10"/>
      <c r="AG317" s="10"/>
      <c r="AH317" s="10"/>
      <c r="AI317" s="10"/>
      <c r="AJ317" s="10"/>
      <c r="AK317" s="10"/>
      <c r="AL317" s="10"/>
      <c r="AM317" s="10"/>
      <c r="AN317" s="10"/>
      <c r="AO317" s="10"/>
      <c r="AP317" s="10"/>
      <c r="AQ317" s="10"/>
      <c r="AR317" s="10"/>
      <c r="AS317" s="10"/>
      <c r="AT317" s="10"/>
    </row>
    <row r="318" spans="2:47" ht="18" customHeight="1" x14ac:dyDescent="0.3">
      <c r="B318" s="18"/>
      <c r="C318" s="925" t="s">
        <v>365</v>
      </c>
      <c r="D318" s="925"/>
      <c r="E318" s="925" t="s">
        <v>1795</v>
      </c>
      <c r="F318" s="925"/>
      <c r="G318" s="925" t="s">
        <v>365</v>
      </c>
      <c r="H318" s="925"/>
      <c r="I318" s="925" t="s">
        <v>1795</v>
      </c>
      <c r="J318" s="925"/>
      <c r="K318" s="925"/>
      <c r="L318" s="925"/>
      <c r="M318" s="925"/>
      <c r="N318" s="925"/>
      <c r="O318" s="925"/>
      <c r="P318" s="770"/>
      <c r="R318" s="10"/>
      <c r="S318" s="50" t="s">
        <v>1654</v>
      </c>
      <c r="T318" s="503" t="s">
        <v>1595</v>
      </c>
      <c r="U318" s="259" t="s">
        <v>1596</v>
      </c>
      <c r="V318" s="925" t="s">
        <v>1083</v>
      </c>
      <c r="W318" s="925"/>
      <c r="X318" s="925"/>
      <c r="Y318" s="925"/>
      <c r="AA318" s="987"/>
      <c r="AB318" s="712"/>
      <c r="AC318" s="712"/>
      <c r="AD318" s="988"/>
      <c r="AE318" s="10"/>
      <c r="AF318" s="10"/>
      <c r="AG318" s="10"/>
      <c r="AH318" s="10"/>
      <c r="AI318" s="10"/>
      <c r="AJ318" s="10"/>
      <c r="AK318" s="10"/>
      <c r="AL318" s="10"/>
      <c r="AM318" s="10"/>
      <c r="AN318" s="10"/>
      <c r="AO318" s="10"/>
      <c r="AP318" s="10"/>
      <c r="AQ318" s="10"/>
      <c r="AR318" s="10"/>
      <c r="AS318" s="10"/>
      <c r="AT318" s="10"/>
    </row>
    <row r="319" spans="2:47" ht="13.5" customHeight="1" x14ac:dyDescent="0.3">
      <c r="B319" s="146" t="s">
        <v>681</v>
      </c>
      <c r="C319" s="708"/>
      <c r="D319" s="708"/>
      <c r="E319" s="948">
        <f>UETable!BF51</f>
        <v>0</v>
      </c>
      <c r="F319" s="948"/>
      <c r="G319" s="708"/>
      <c r="H319" s="708"/>
      <c r="I319" s="929">
        <f>IF(C319="",0,IF(OR(C319&lt;=0,G319&lt;=0),E319,IF(G319&lt;C319,0,UETable!BK51)))</f>
        <v>0</v>
      </c>
      <c r="J319" s="929"/>
      <c r="K319" s="946" t="str">
        <f>IF(OR(C319="NA",G319="NA"),"",IF(AND(C319&lt;&gt;"",G319=""),"Enter contralateral or NA.",IF(AND(C319="",G319&lt;&gt;""),"Need data","")))</f>
        <v/>
      </c>
      <c r="L319" s="946"/>
      <c r="M319" s="946"/>
      <c r="N319" s="946"/>
      <c r="O319" s="946"/>
      <c r="P319" s="770"/>
      <c r="R319" s="132"/>
      <c r="S319" s="50">
        <v>70</v>
      </c>
      <c r="T319" s="531" t="str">
        <f>IF(OR(C319="",C319="NA"),"",IF(C319&gt;S319,S319,IF(C319&lt;0,0,C319)))</f>
        <v/>
      </c>
      <c r="U319" s="50" t="str">
        <f>IF(OR(G319="",G319="NA"),"",IF(G319&gt;S319,S319,IF(G319&lt;0,0,G319)))</f>
        <v/>
      </c>
      <c r="V319" s="562" t="str">
        <f>IF(Y319="","",ROUND(Y319,0))</f>
        <v/>
      </c>
      <c r="W319" s="925" t="s">
        <v>1202</v>
      </c>
      <c r="X319" s="925"/>
      <c r="Y319" s="563" t="str">
        <f>IF(T319="","",IF(OR(U319="",U319=0,U319&lt;T319),T319,(T319*70)/U319))</f>
        <v/>
      </c>
      <c r="Z319" s="10"/>
      <c r="AA319" s="989"/>
      <c r="AB319" s="990"/>
      <c r="AC319" s="990"/>
      <c r="AD319" s="991"/>
      <c r="AE319" s="18">
        <f>IF(OR(E321&gt;0,E325&gt;0,E329&gt;0),1,0)</f>
        <v>0</v>
      </c>
      <c r="AF319" s="10"/>
      <c r="AG319" s="10"/>
      <c r="AH319" s="10"/>
      <c r="AI319" s="10"/>
      <c r="AJ319" s="10"/>
      <c r="AK319" s="10"/>
      <c r="AL319" s="10"/>
      <c r="AM319" s="10"/>
      <c r="AN319" s="10"/>
      <c r="AO319" s="10"/>
      <c r="AP319" s="10"/>
      <c r="AQ319" s="10"/>
      <c r="AR319" s="10"/>
      <c r="AS319" s="10"/>
      <c r="AT319" s="10"/>
    </row>
    <row r="320" spans="2:47" ht="13.5" customHeight="1" x14ac:dyDescent="0.3">
      <c r="B320" s="146" t="s">
        <v>682</v>
      </c>
      <c r="C320" s="708"/>
      <c r="D320" s="708"/>
      <c r="E320" s="948">
        <f>UETable!BF52</f>
        <v>0</v>
      </c>
      <c r="F320" s="948"/>
      <c r="G320" s="708"/>
      <c r="H320" s="708"/>
      <c r="I320" s="929">
        <f>IF(C320="",0,IF(OR(C320&gt;=70,G320&gt;=70),E320,IF(G320&gt;C320,0,UETable!BK52)))</f>
        <v>0</v>
      </c>
      <c r="J320" s="929"/>
      <c r="K320" s="946" t="str">
        <f>IF(OR(C320="NA",G320="NA"),"",IF(AND(C320&lt;&gt;"",G320=""),"Enter contralateral or NA.",IF(AND(C320="",G320&lt;&gt;""),"Need data","")))</f>
        <v/>
      </c>
      <c r="L320" s="946"/>
      <c r="M320" s="946"/>
      <c r="N320" s="946"/>
      <c r="O320" s="946"/>
      <c r="P320" s="770"/>
      <c r="S320" s="50">
        <v>70</v>
      </c>
      <c r="T320" s="531"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row>
    <row r="321" spans="1:109" ht="15" customHeight="1" x14ac:dyDescent="0.3">
      <c r="B321" s="146" t="s">
        <v>683</v>
      </c>
      <c r="C321" s="708"/>
      <c r="D321" s="708"/>
      <c r="E321" s="948">
        <f>IF(AND(C321&lt;&gt;"",C321&lt;&gt;"NA",C320&lt;&gt;"NA",C320&lt;&gt;""),"ERROR",IF(AND(C321&lt;&gt;"",C321&lt;&gt;"NA",C319&lt;&gt;"",C319&lt;&gt;"NA"),"ERROR",UETable!BF53))</f>
        <v>0</v>
      </c>
      <c r="F321" s="948"/>
      <c r="G321" s="946" t="str">
        <f>IF(AND(C321&lt;&gt;"",C321&lt;&gt;"NA",C320&lt;&gt;"NA",C320&lt;&gt;""),"ERROR: Cannot rate ROM and ankylosis.",IF(AND(C321&lt;&gt;"",C321&lt;&gt;"NA",C319&lt;&gt;"",C319&lt;&gt;"NA"),"ERROR: Cannot rate ROM and ankylosis.",""))</f>
        <v/>
      </c>
      <c r="H321" s="946"/>
      <c r="I321" s="946"/>
      <c r="J321" s="946"/>
      <c r="K321" s="946"/>
      <c r="L321" s="946"/>
      <c r="M321" s="946"/>
      <c r="N321" s="946"/>
      <c r="O321" s="946"/>
      <c r="P321" s="770"/>
      <c r="R321" s="132"/>
      <c r="S321" s="50">
        <v>70</v>
      </c>
      <c r="T321" s="531"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row>
    <row r="322" spans="1:109" x14ac:dyDescent="0.3">
      <c r="B322" s="993"/>
      <c r="C322" s="994"/>
      <c r="D322" s="994"/>
      <c r="E322" s="994"/>
      <c r="F322" s="994"/>
      <c r="G322" s="994"/>
      <c r="H322" s="994"/>
      <c r="I322" s="994"/>
      <c r="J322" s="995"/>
      <c r="K322" s="958" t="s">
        <v>1841</v>
      </c>
      <c r="L322" s="958"/>
      <c r="M322" s="958"/>
      <c r="N322" s="958"/>
      <c r="O322" s="65">
        <f>IF(E321="ERROR","ERROR",IF(R322&gt;1,1,R322))</f>
        <v>0</v>
      </c>
      <c r="P322" s="770"/>
      <c r="R322" s="194">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3">
      <c r="B323" s="146" t="s">
        <v>684</v>
      </c>
      <c r="C323" s="708"/>
      <c r="D323" s="708"/>
      <c r="E323" s="948">
        <f>UETable!BF55</f>
        <v>0</v>
      </c>
      <c r="F323" s="948"/>
      <c r="G323" s="708"/>
      <c r="H323" s="708"/>
      <c r="I323" s="929">
        <f>IF(C323="",0,IF(OR(C323&lt;=0,G323&lt;=0),E323,IF(G323&lt;C323,0,UETable!BK55)))</f>
        <v>0</v>
      </c>
      <c r="J323" s="929"/>
      <c r="K323" s="946" t="str">
        <f>IF(OR(C323="NA",G323="NA"),"",IF(AND(C323&lt;&gt;"",G323=""),"Enter contralateral or NA.",IF(AND(C323="",G323&lt;&gt;""),"Need data","")))</f>
        <v/>
      </c>
      <c r="L323" s="946"/>
      <c r="M323" s="946"/>
      <c r="N323" s="946"/>
      <c r="O323" s="946"/>
      <c r="P323" s="770"/>
      <c r="R323" s="132"/>
      <c r="S323" s="50">
        <v>100</v>
      </c>
      <c r="T323" s="531" t="str">
        <f>IF(OR(C323="",C323="NA"),"",IF(C323&gt;S323,S323,IF(C323&lt;0,0,C323)))</f>
        <v/>
      </c>
      <c r="U323" s="50" t="str">
        <f>IF(OR(G323="",G323="NA"),"",IF(G323&gt;S323,S323,IF(G323&lt;0,0,G323)))</f>
        <v/>
      </c>
      <c r="V323" s="562" t="str">
        <f>IF(Y323="","",ROUND(Y323,0))</f>
        <v/>
      </c>
      <c r="W323" s="806" t="s">
        <v>1202</v>
      </c>
      <c r="X323" s="806"/>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row>
    <row r="324" spans="1:109" ht="13.5" customHeight="1" x14ac:dyDescent="0.3">
      <c r="B324" s="146" t="s">
        <v>685</v>
      </c>
      <c r="C324" s="708"/>
      <c r="D324" s="708"/>
      <c r="E324" s="948">
        <f>UETable!BF56</f>
        <v>0</v>
      </c>
      <c r="F324" s="948"/>
      <c r="G324" s="708"/>
      <c r="H324" s="708"/>
      <c r="I324" s="929">
        <f>IF(C324="",0,IF(OR(C324&gt;=100,G324&gt;=100),E324,IF(G324&gt;C324,0,UETable!BK56)))</f>
        <v>0</v>
      </c>
      <c r="J324" s="929"/>
      <c r="K324" s="946" t="str">
        <f>IF(OR(C324="NA",G324="NA"),"",IF(AND(C324&lt;&gt;"",G324=""),"Enter contralateral or NA.",IF(AND(C324="",G324&lt;&gt;""),"Need data","")))</f>
        <v/>
      </c>
      <c r="L324" s="946"/>
      <c r="M324" s="946"/>
      <c r="N324" s="946"/>
      <c r="O324" s="946"/>
      <c r="P324" s="770"/>
      <c r="S324" s="50">
        <v>100</v>
      </c>
      <c r="T324" s="531"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row>
    <row r="325" spans="1:109" ht="15" customHeight="1" x14ac:dyDescent="0.3">
      <c r="B325" s="146" t="s">
        <v>686</v>
      </c>
      <c r="C325" s="708"/>
      <c r="D325" s="708"/>
      <c r="E325" s="948">
        <f>IF(AND(C325&lt;&gt;"",C325&lt;&gt;"NA",C324&lt;&gt;"NA",C324&lt;&gt;""),"ERROR",IF(AND(C325&lt;&gt;"",C325&lt;&gt;"NA",C323&lt;&gt;"",C323&lt;&gt;"NA"),"ERROR",UETable!BF57))</f>
        <v>0</v>
      </c>
      <c r="F325" s="948"/>
      <c r="G325" s="946" t="str">
        <f>IF(AND(C325&lt;&gt;"",C325&lt;&gt;"NA",C324&lt;&gt;"NA",C324&lt;&gt;""),"ERROR: Cannot rate ROM and ankylosis.",IF(AND(C325&lt;&gt;"",C325&lt;&gt;"NA",C323&lt;&gt;"",C323&lt;&gt;"NA"),"ERROR: Cannot rate ROM and ankylosis.",""))</f>
        <v/>
      </c>
      <c r="H325" s="946"/>
      <c r="I325" s="946"/>
      <c r="J325" s="946"/>
      <c r="K325" s="946"/>
      <c r="L325" s="946"/>
      <c r="M325" s="946"/>
      <c r="N325" s="946"/>
      <c r="O325" s="946"/>
      <c r="P325" s="770"/>
      <c r="R325" s="10"/>
      <c r="S325" s="50">
        <v>100</v>
      </c>
      <c r="T325" s="531"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3">
      <c r="B326" s="993"/>
      <c r="C326" s="994"/>
      <c r="D326" s="994"/>
      <c r="E326" s="994"/>
      <c r="F326" s="994"/>
      <c r="G326" s="994"/>
      <c r="H326" s="994"/>
      <c r="I326" s="994"/>
      <c r="J326" s="995"/>
      <c r="K326" s="958" t="s">
        <v>1841</v>
      </c>
      <c r="L326" s="958"/>
      <c r="M326" s="958"/>
      <c r="N326" s="958"/>
      <c r="O326" s="65">
        <f>IF(E325="ERROR","ERROR",IF(R326&gt;1,1,R326))</f>
        <v>0</v>
      </c>
      <c r="P326" s="770"/>
      <c r="R326" s="194">
        <f>SUM(I323,I324,E325)</f>
        <v>0</v>
      </c>
      <c r="S326" s="5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row>
    <row r="327" spans="1:109" ht="13.5" customHeight="1" x14ac:dyDescent="0.3">
      <c r="B327" s="146" t="s">
        <v>1577</v>
      </c>
      <c r="C327" s="708"/>
      <c r="D327" s="708"/>
      <c r="E327" s="948">
        <f>UETable!BF59</f>
        <v>0</v>
      </c>
      <c r="F327" s="948"/>
      <c r="G327" s="708"/>
      <c r="H327" s="708"/>
      <c r="I327" s="929">
        <f>IF(C327="",0,IF(OR(C327&lt;=0,G327&lt;=0),E327,IF(G327&lt;C327,0,UETable!BK59)))</f>
        <v>0</v>
      </c>
      <c r="J327" s="929"/>
      <c r="K327" s="946" t="str">
        <f>IF(OR(C327="NA",G327="NA"),"",IF(AND(C327&lt;&gt;"",G327=""),"Enter contralateral or NA.",IF(AND(C327="",G327&lt;&gt;""),"Need data","")))</f>
        <v/>
      </c>
      <c r="L327" s="946"/>
      <c r="M327" s="946"/>
      <c r="N327" s="946"/>
      <c r="O327" s="946"/>
      <c r="P327" s="770"/>
      <c r="R327" s="10"/>
      <c r="S327" s="50">
        <v>90</v>
      </c>
      <c r="T327" s="531" t="str">
        <f>IF(OR(C327="",C327="NA"),"",IF(C327&gt;S327,S327,IF(C327&lt;0,0,C327)))</f>
        <v/>
      </c>
      <c r="U327" s="50" t="str">
        <f>IF(OR(G327="",G327="NA"),"",IF(G327&gt;S327,S327,IF(G327&lt;0,0,G327)))</f>
        <v/>
      </c>
      <c r="V327" s="562" t="str">
        <f>IF(Y327="","",ROUND(Y327,0))</f>
        <v/>
      </c>
      <c r="W327" s="806" t="s">
        <v>1202</v>
      </c>
      <c r="X327" s="806"/>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3">
      <c r="B328" s="146" t="s">
        <v>1578</v>
      </c>
      <c r="C328" s="708"/>
      <c r="D328" s="708"/>
      <c r="E328" s="948">
        <f>UETable!BF60</f>
        <v>0</v>
      </c>
      <c r="F328" s="948"/>
      <c r="G328" s="708"/>
      <c r="H328" s="708"/>
      <c r="I328" s="929">
        <f>IF(C328="",0,IF(OR(C328&gt;=90,G328&gt;=90),E328,IF(G328&gt;C328,0,UETable!BK60)))</f>
        <v>0</v>
      </c>
      <c r="J328" s="929"/>
      <c r="K328" s="946" t="str">
        <f>IF(OR(C328="NA",G328="NA"),"",IF(AND(C328&lt;&gt;"",G328=""),"Enter contralateral or NA.",IF(AND(C328="",G328&lt;&gt;""),"Need data","")))</f>
        <v/>
      </c>
      <c r="L328" s="946"/>
      <c r="M328" s="946"/>
      <c r="N328" s="946"/>
      <c r="O328" s="946"/>
      <c r="P328" s="770"/>
      <c r="R328" s="10"/>
      <c r="S328" s="50">
        <v>90</v>
      </c>
      <c r="T328" s="531"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3">
      <c r="B329" s="146" t="s">
        <v>643</v>
      </c>
      <c r="C329" s="708"/>
      <c r="D329" s="708"/>
      <c r="E329" s="948">
        <f>IF(AND(C329&lt;&gt;"",C329&lt;&gt;"NA",C328&lt;&gt;"NA",C328&lt;&gt;""),"ERROR",IF(AND(C329&lt;&gt;"",C329&lt;&gt;"NA",C327&lt;&gt;"",C327&lt;&gt;"NA"),"ERROR",UETable!BF61))</f>
        <v>0</v>
      </c>
      <c r="F329" s="948"/>
      <c r="G329" s="946" t="str">
        <f>IF(AND(C329&lt;&gt;"",C329&lt;&gt;"NA",C328&lt;&gt;"NA",C328&lt;&gt;""),"ERROR: Cannot rate ROM and ankylosis.",IF(AND(C329&lt;&gt;"",C329&lt;&gt;"NA",C327&lt;&gt;"",C327&lt;&gt;"NA"),"ERROR: Cannot rate ROM and ankylosis.",""))</f>
        <v/>
      </c>
      <c r="H329" s="946"/>
      <c r="I329" s="946"/>
      <c r="J329" s="946"/>
      <c r="K329" s="946"/>
      <c r="L329" s="946"/>
      <c r="M329" s="946"/>
      <c r="N329" s="946"/>
      <c r="O329" s="946"/>
      <c r="P329" s="770"/>
      <c r="R329" s="50">
        <f>IF(OR(O322="ERROR",O326="ERROR",O330="ERROR"),1,0)</f>
        <v>0</v>
      </c>
      <c r="S329" s="531">
        <v>90</v>
      </c>
      <c r="T329" s="531"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3">
      <c r="B330" s="636"/>
      <c r="C330" s="637"/>
      <c r="D330" s="637"/>
      <c r="E330" s="1138" t="str">
        <f>IF(AND(OR(E321&gt;0,E325&gt;0,E329&gt;0),C331&gt;0),"Note: Ankylosis is not apportioned.","")</f>
        <v/>
      </c>
      <c r="F330" s="1138"/>
      <c r="G330" s="1138"/>
      <c r="H330" s="1138"/>
      <c r="I330" s="1138"/>
      <c r="J330" s="958" t="s">
        <v>1841</v>
      </c>
      <c r="K330" s="958"/>
      <c r="L330" s="958"/>
      <c r="M330" s="958"/>
      <c r="N330" s="958"/>
      <c r="O330" s="65">
        <f>IF(E329="ERROR","ERROR",IF(R330&gt;1,1,R330))</f>
        <v>0</v>
      </c>
      <c r="P330" s="77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3">
      <c r="B331" s="13" t="s">
        <v>2255</v>
      </c>
      <c r="C331" s="935"/>
      <c r="D331" s="960"/>
      <c r="E331" s="1138"/>
      <c r="F331" s="1138"/>
      <c r="G331" s="1138"/>
      <c r="H331" s="1138"/>
      <c r="I331" s="1138"/>
      <c r="J331" s="958" t="s">
        <v>200</v>
      </c>
      <c r="K331" s="958"/>
      <c r="L331" s="958"/>
      <c r="M331" s="958"/>
      <c r="N331" s="958"/>
      <c r="O331" s="958"/>
      <c r="P331" s="77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3">
      <c r="B332" s="792"/>
      <c r="C332" s="792"/>
      <c r="D332" s="792"/>
      <c r="E332" s="792"/>
      <c r="F332" s="792"/>
      <c r="G332" s="792"/>
      <c r="H332" s="792"/>
      <c r="I332" s="792"/>
      <c r="J332" s="792"/>
      <c r="K332" s="792"/>
      <c r="L332" s="792"/>
      <c r="M332" s="792"/>
      <c r="N332" s="792"/>
      <c r="O332" s="792"/>
      <c r="R332" s="10"/>
      <c r="S332" s="878" t="s">
        <v>2196</v>
      </c>
      <c r="T332" s="878"/>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3">
      <c r="A333" s="15"/>
      <c r="B333" s="964" t="s">
        <v>971</v>
      </c>
      <c r="C333" s="965"/>
      <c r="D333" s="934"/>
      <c r="E333" s="934"/>
      <c r="F333" s="971" t="s">
        <v>1228</v>
      </c>
      <c r="G333" s="971"/>
      <c r="H333" s="971"/>
      <c r="I333" s="971"/>
      <c r="J333" s="971"/>
      <c r="K333" s="971"/>
      <c r="L333" s="971"/>
      <c r="M333" s="971"/>
      <c r="N333" s="971"/>
      <c r="O333" s="971"/>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3">
      <c r="B334" s="966"/>
      <c r="C334" s="967"/>
      <c r="D334" s="934"/>
      <c r="E334" s="934"/>
      <c r="F334" s="971" t="s">
        <v>1230</v>
      </c>
      <c r="G334" s="971"/>
      <c r="H334" s="971"/>
      <c r="I334" s="971"/>
      <c r="J334" s="971"/>
      <c r="K334" s="971"/>
      <c r="L334" s="971"/>
      <c r="M334" s="971"/>
      <c r="N334" s="971"/>
      <c r="O334" s="971"/>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3">
      <c r="B335" s="966"/>
      <c r="C335" s="967"/>
      <c r="D335" s="934"/>
      <c r="E335" s="934"/>
      <c r="F335" s="971" t="s">
        <v>1229</v>
      </c>
      <c r="G335" s="971"/>
      <c r="H335" s="971"/>
      <c r="I335" s="971"/>
      <c r="J335" s="971"/>
      <c r="K335" s="971"/>
      <c r="L335" s="971"/>
      <c r="M335" s="971"/>
      <c r="N335" s="971"/>
      <c r="O335" s="971"/>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3">
      <c r="B336" s="968"/>
      <c r="C336" s="969"/>
      <c r="D336" s="934"/>
      <c r="E336" s="934"/>
      <c r="F336" s="971" t="s">
        <v>1231</v>
      </c>
      <c r="G336" s="971"/>
      <c r="H336" s="971"/>
      <c r="I336" s="971"/>
      <c r="J336" s="971"/>
      <c r="K336" s="971"/>
      <c r="L336" s="971"/>
      <c r="M336" s="971"/>
      <c r="N336" s="971"/>
      <c r="O336" s="971"/>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3">
      <c r="B337" s="792"/>
      <c r="C337" s="792"/>
      <c r="D337" s="792"/>
      <c r="E337" s="792"/>
      <c r="F337" s="792"/>
      <c r="G337" s="792"/>
      <c r="H337" s="792"/>
      <c r="I337" s="792"/>
      <c r="J337" s="792"/>
      <c r="K337" s="792"/>
      <c r="L337" s="792"/>
      <c r="M337" s="792"/>
      <c r="N337" s="792"/>
      <c r="O337" s="792"/>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3">
      <c r="B338" s="485"/>
      <c r="C338" s="1012" t="s">
        <v>248</v>
      </c>
      <c r="D338" s="983"/>
      <c r="E338" s="982" t="s">
        <v>249</v>
      </c>
      <c r="F338" s="983"/>
      <c r="G338" s="355"/>
      <c r="H338" s="357"/>
      <c r="I338" s="1011" t="s">
        <v>250</v>
      </c>
      <c r="J338" s="983"/>
      <c r="K338" s="477"/>
      <c r="L338" s="357"/>
      <c r="M338" s="982" t="s">
        <v>249</v>
      </c>
      <c r="N338" s="983"/>
      <c r="O338" s="356"/>
      <c r="P338" s="492"/>
      <c r="Z338" s="482"/>
      <c r="AE338" s="481"/>
      <c r="AF338" s="481"/>
      <c r="AG338" s="481"/>
      <c r="AH338" s="481"/>
      <c r="AI338" s="481"/>
      <c r="AJ338" s="481"/>
      <c r="AK338" s="481"/>
      <c r="AL338" s="481"/>
      <c r="AM338" s="481"/>
      <c r="AN338" s="481"/>
    </row>
    <row r="339" spans="2:79" ht="12" customHeight="1" x14ac:dyDescent="0.3">
      <c r="B339" s="486"/>
      <c r="C339" s="970" t="s">
        <v>251</v>
      </c>
      <c r="D339" s="963"/>
      <c r="E339" s="970" t="s">
        <v>252</v>
      </c>
      <c r="F339" s="963"/>
      <c r="G339" s="970" t="s">
        <v>253</v>
      </c>
      <c r="H339" s="963"/>
      <c r="I339" s="962" t="s">
        <v>254</v>
      </c>
      <c r="J339" s="963"/>
      <c r="K339" s="970" t="s">
        <v>255</v>
      </c>
      <c r="L339" s="963"/>
      <c r="M339" s="970" t="s">
        <v>256</v>
      </c>
      <c r="N339" s="963"/>
      <c r="P339" s="493"/>
      <c r="Z339" s="332"/>
      <c r="AE339" s="481"/>
      <c r="AF339" s="481"/>
      <c r="AG339" s="481"/>
      <c r="AH339" s="481"/>
      <c r="AI339" s="481"/>
      <c r="AJ339" s="481"/>
      <c r="AK339" s="481"/>
      <c r="AL339" s="481"/>
      <c r="AM339" s="481"/>
      <c r="AN339" s="481"/>
    </row>
    <row r="340" spans="2:79" ht="12" customHeight="1" x14ac:dyDescent="0.3">
      <c r="B340" s="486"/>
      <c r="C340" s="943" t="s">
        <v>257</v>
      </c>
      <c r="D340" s="944"/>
      <c r="E340" s="943" t="s">
        <v>258</v>
      </c>
      <c r="F340" s="944"/>
      <c r="G340" s="943" t="s">
        <v>259</v>
      </c>
      <c r="H340" s="944"/>
      <c r="I340" s="1013" t="s">
        <v>260</v>
      </c>
      <c r="J340" s="944"/>
      <c r="K340" s="943" t="s">
        <v>259</v>
      </c>
      <c r="L340" s="944"/>
      <c r="M340" s="943" t="s">
        <v>258</v>
      </c>
      <c r="N340" s="944"/>
      <c r="P340" s="493"/>
      <c r="AH340" s="146">
        <v>1</v>
      </c>
      <c r="AI340" s="146">
        <v>2</v>
      </c>
      <c r="AJ340" s="146">
        <v>3</v>
      </c>
      <c r="AK340" s="146">
        <v>4</v>
      </c>
      <c r="AM340" s="481"/>
      <c r="AN340" s="481"/>
      <c r="AO340" s="481"/>
      <c r="AP340" s="481"/>
      <c r="AQ340" s="481"/>
      <c r="AR340" s="481"/>
      <c r="AS340" s="481"/>
      <c r="AT340" s="481"/>
      <c r="AU340" s="481"/>
      <c r="AV340" s="481"/>
    </row>
    <row r="341" spans="2:79" ht="12" customHeight="1" x14ac:dyDescent="0.3">
      <c r="B341" s="548" t="s">
        <v>1985</v>
      </c>
      <c r="C341" s="1001" t="s">
        <v>261</v>
      </c>
      <c r="D341" s="1002"/>
      <c r="E341" s="1001" t="s">
        <v>261</v>
      </c>
      <c r="F341" s="1002"/>
      <c r="G341" s="1001" t="s">
        <v>261</v>
      </c>
      <c r="H341" s="1002"/>
      <c r="I341" s="1001" t="s">
        <v>261</v>
      </c>
      <c r="J341" s="1002"/>
      <c r="K341" s="1001" t="s">
        <v>261</v>
      </c>
      <c r="L341" s="1002"/>
      <c r="M341" s="1001" t="s">
        <v>261</v>
      </c>
      <c r="N341" s="1002"/>
      <c r="P341" s="493"/>
      <c r="S341" s="907" t="s">
        <v>2196</v>
      </c>
      <c r="T341" s="908"/>
      <c r="U341" s="908"/>
      <c r="V341" s="908"/>
      <c r="W341" s="908"/>
      <c r="X341" s="909"/>
      <c r="Y341" s="480"/>
      <c r="Z341" s="480"/>
      <c r="AA341" s="952" t="s">
        <v>2196</v>
      </c>
      <c r="AB341" s="953"/>
      <c r="AC341" s="953"/>
      <c r="AD341" s="953"/>
      <c r="AE341" s="953"/>
      <c r="AF341" s="954"/>
      <c r="AG341" s="480"/>
      <c r="AH341" s="910" t="s">
        <v>2196</v>
      </c>
      <c r="AI341" s="911"/>
      <c r="AJ341" s="911"/>
      <c r="AK341" s="911"/>
      <c r="AL341" s="911"/>
      <c r="AM341" s="912"/>
      <c r="AO341" s="907" t="s">
        <v>2196</v>
      </c>
      <c r="AP341" s="908"/>
      <c r="AQ341" s="908"/>
      <c r="AR341" s="908"/>
      <c r="AS341" s="909"/>
      <c r="AU341" s="907" t="s">
        <v>2196</v>
      </c>
      <c r="AV341" s="908"/>
      <c r="AW341" s="908"/>
      <c r="AX341" s="909"/>
      <c r="AZ341" s="907" t="s">
        <v>2196</v>
      </c>
      <c r="BA341" s="908"/>
      <c r="BB341" s="908"/>
      <c r="BC341" s="908"/>
      <c r="BD341" s="908"/>
      <c r="BE341" s="908"/>
      <c r="BF341" s="908"/>
      <c r="BG341" s="909"/>
      <c r="BI341" s="907" t="s">
        <v>2196</v>
      </c>
      <c r="BJ341" s="908"/>
      <c r="BK341" s="908"/>
      <c r="BL341" s="908"/>
      <c r="BM341" s="908"/>
      <c r="BN341" s="909"/>
    </row>
    <row r="342" spans="2:79" customFormat="1" ht="15" customHeight="1" x14ac:dyDescent="0.3">
      <c r="B342" s="146" t="s">
        <v>1602</v>
      </c>
      <c r="C342" s="945"/>
      <c r="D342" s="945"/>
      <c r="E342" s="945"/>
      <c r="F342" s="945"/>
      <c r="G342" s="945"/>
      <c r="H342" s="945"/>
      <c r="I342" s="945"/>
      <c r="J342" s="945"/>
      <c r="K342" s="945"/>
      <c r="L342" s="945"/>
      <c r="M342" s="945"/>
      <c r="N342" s="945"/>
      <c r="P342" s="494"/>
      <c r="S342" s="304">
        <f>IF(C342="",0,C342)</f>
        <v>0</v>
      </c>
      <c r="T342" s="304">
        <f>IF(AND(E342&lt;&gt;C342,E342&lt;&gt;""),E342,IF(OR(E343&lt;&gt;"",E344&lt;&gt;""),0,S342))</f>
        <v>0</v>
      </c>
      <c r="U342" s="304">
        <f>IF(AND(G342&lt;&gt;E342,G342&lt;&gt;""),G342,IF(OR(G343&lt;&gt;"",G344&lt;&gt;""),0,T342))</f>
        <v>0</v>
      </c>
      <c r="V342" s="304">
        <f>IF(AND(I342&lt;&gt;G342,I342&lt;&gt;""),I342,IF(OR(I343&lt;&gt;"",I344&lt;&gt;""),0,U342))</f>
        <v>0</v>
      </c>
      <c r="W342" s="304">
        <f>IF(AND(K342&lt;&gt;I342,K342&lt;&gt;""),K342,IF(OR(K343&lt;&gt;"",K344&lt;&gt;""),0,V342))</f>
        <v>0</v>
      </c>
      <c r="X342" s="304">
        <f>IF(AND(M342&lt;&gt;K342,M342&lt;&gt;""),M342,IF(OR(M343&lt;&gt;"",M344&lt;&gt;""),0,W342))</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907" t="s">
        <v>2196</v>
      </c>
      <c r="BS342" s="908"/>
      <c r="BT342" s="908"/>
      <c r="BU342" s="908"/>
      <c r="BV342" s="908"/>
      <c r="BW342" s="908"/>
      <c r="BX342" s="908"/>
      <c r="BY342" s="908"/>
      <c r="BZ342" s="908"/>
      <c r="CA342" s="909"/>
    </row>
    <row r="343" spans="2:79" customFormat="1" ht="15" customHeight="1" x14ac:dyDescent="0.3">
      <c r="B343" s="304" t="s">
        <v>1603</v>
      </c>
      <c r="C343" s="945"/>
      <c r="D343" s="945"/>
      <c r="E343" s="945"/>
      <c r="F343" s="945"/>
      <c r="G343" s="945"/>
      <c r="H343" s="945"/>
      <c r="I343" s="945"/>
      <c r="J343" s="945"/>
      <c r="K343" s="945"/>
      <c r="L343" s="945"/>
      <c r="M343" s="945"/>
      <c r="N343" s="945"/>
      <c r="P343" s="494"/>
      <c r="S343" s="304">
        <f>IF(C343="",0,C343)</f>
        <v>0</v>
      </c>
      <c r="T343" s="304">
        <f>IF(E343&lt;&gt;C343,E343,IF(AND(E344&lt;&gt;C344,S342&gt;1),S342,0))</f>
        <v>0</v>
      </c>
      <c r="U343" s="304">
        <f>IF(G343&lt;&gt;E343,G343,IF(AND(G344&lt;&gt;E344,T342&gt;1),T342,0))</f>
        <v>0</v>
      </c>
      <c r="V343" s="304">
        <f>IF(I343&lt;&gt;G343,I343,IF(AND(I344&lt;&gt;G344,U342&gt;1),U342,0))</f>
        <v>0</v>
      </c>
      <c r="W343" s="304">
        <f>IF(K343&lt;&gt;I343,K343,IF(AND(K344&lt;&gt;I344,V342&gt;1),V342,0))</f>
        <v>0</v>
      </c>
      <c r="X343" s="304">
        <f>IF(M343&lt;&gt;K343,M343,IF(AND(M344&lt;&gt;K344,W342&gt;1),W342,0))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79" customFormat="1" ht="15" customHeight="1" x14ac:dyDescent="0.3">
      <c r="B344" s="487" t="s">
        <v>1604</v>
      </c>
      <c r="C344" s="1016"/>
      <c r="D344" s="1016"/>
      <c r="E344" s="1016"/>
      <c r="F344" s="1016"/>
      <c r="G344" s="1016"/>
      <c r="H344" s="1016"/>
      <c r="I344" s="1016"/>
      <c r="J344" s="1016"/>
      <c r="K344" s="1016"/>
      <c r="L344" s="1016"/>
      <c r="M344" s="1016"/>
      <c r="N344" s="1016"/>
      <c r="P344" s="500"/>
      <c r="S344" s="304">
        <f>IF(C344="",0,C344)</f>
        <v>0</v>
      </c>
      <c r="T344" s="304">
        <f>IF(E344&lt;&gt;C344,E344,IF(AND(E343&lt;&gt;C343,S342&gt;1),S342,0))</f>
        <v>0</v>
      </c>
      <c r="U344" s="304">
        <f>IF(G344&lt;&gt;E344,G344,IF(AND(G343&lt;&gt;E343,T342&gt;1),T342,0))</f>
        <v>0</v>
      </c>
      <c r="V344" s="304">
        <f>IF(I344&lt;&gt;G344,I344,IF(AND(I343&lt;&gt;G343,U342&gt;1),U342,0))</f>
        <v>0</v>
      </c>
      <c r="W344" s="304">
        <f>IF(K344&lt;&gt;I344,K344,IF(AND(K343&lt;&gt;I343,V342&gt;1),V342,0))</f>
        <v>0</v>
      </c>
      <c r="X344" s="304">
        <f>IF(M344&lt;&gt;K344,M344,IF(AND(M343&lt;&gt;K343,W342&gt;1),W342,0))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79" customFormat="1" ht="15" customHeight="1" x14ac:dyDescent="0.3">
      <c r="B345" s="1121" t="str">
        <f>IF(AD345=1,"ERROR: If radial or ulnar impairment is recorded, do not enter losses for 'both sides.'","")</f>
        <v/>
      </c>
      <c r="C345" s="1122"/>
      <c r="D345" s="1122"/>
      <c r="E345" s="1122"/>
      <c r="F345" s="1122"/>
      <c r="G345" s="1122"/>
      <c r="H345" s="1122"/>
      <c r="I345" s="1122"/>
      <c r="J345" s="1122"/>
      <c r="K345" s="1122"/>
      <c r="L345" s="1122"/>
      <c r="M345" s="1122"/>
      <c r="N345" s="1122"/>
      <c r="O345" s="1123"/>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480"/>
      <c r="AF345" s="480"/>
    </row>
    <row r="346" spans="2:79" customFormat="1" ht="15" customHeight="1" x14ac:dyDescent="0.3">
      <c r="B346" s="355" t="s">
        <v>1226</v>
      </c>
      <c r="C346" s="495"/>
      <c r="D346" s="495"/>
      <c r="E346" s="495"/>
      <c r="F346" s="495"/>
      <c r="G346" s="495"/>
      <c r="H346" s="495"/>
      <c r="I346" s="501"/>
      <c r="J346" s="495"/>
      <c r="K346" s="502"/>
      <c r="L346" s="502"/>
      <c r="M346" s="502"/>
      <c r="N346" s="502"/>
      <c r="O346" s="502"/>
      <c r="P346" s="492"/>
      <c r="S346" s="480"/>
      <c r="T346" s="480"/>
      <c r="U346" s="480"/>
      <c r="V346" s="480"/>
      <c r="W346" s="480"/>
      <c r="X346" s="480"/>
    </row>
    <row r="347" spans="2:79" customFormat="1" ht="15" customHeight="1" x14ac:dyDescent="0.3">
      <c r="B347" s="146" t="s">
        <v>1602</v>
      </c>
      <c r="C347" s="945"/>
      <c r="D347" s="945"/>
      <c r="E347" s="945"/>
      <c r="F347" s="945"/>
      <c r="G347" s="945"/>
      <c r="H347" s="945"/>
      <c r="I347" s="945"/>
      <c r="J347" s="945"/>
      <c r="K347" s="945"/>
      <c r="L347" s="945"/>
      <c r="M347" s="945"/>
      <c r="N347" s="945"/>
      <c r="O347" s="495"/>
      <c r="P347" s="498"/>
      <c r="S347" s="304">
        <f>IF(C347="",0,C347)</f>
        <v>0</v>
      </c>
      <c r="T347" s="304">
        <f>IF(AND(E347&lt;&gt;C347,E347&lt;&gt;""),E347,IF(OR(E348&lt;&gt;"",E349&lt;&gt;""),0,S347))</f>
        <v>0</v>
      </c>
      <c r="U347" s="304">
        <f>IF(AND(G347&lt;&gt;E347,G347&lt;&gt;""),G347,IF(OR(G348&lt;&gt;"",G349&lt;&gt;""),0,T347))</f>
        <v>0</v>
      </c>
      <c r="V347" s="304">
        <f>IF(AND(I347&lt;&gt;G347,I347&lt;&gt;""),I347,IF(OR(I348&lt;&gt;"",I349&lt;&gt;""),0,U347))</f>
        <v>0</v>
      </c>
      <c r="W347" s="304">
        <f>IF(AND(K347&lt;&gt;I347,K347&lt;&gt;""),K347,IF(OR(K348&lt;&gt;"",K349&lt;&gt;""),0,V347))</f>
        <v>0</v>
      </c>
      <c r="X347" s="304">
        <f>IF(AND(M347&lt;&gt;K347,M347&lt;&gt;""),M347,IF(OR(M348&lt;&gt;"",M349&lt;&gt;""),0,W347))</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79" customFormat="1" ht="15" customHeight="1" x14ac:dyDescent="0.3">
      <c r="B348" s="304" t="s">
        <v>1603</v>
      </c>
      <c r="C348" s="945"/>
      <c r="D348" s="945"/>
      <c r="E348" s="945"/>
      <c r="F348" s="945"/>
      <c r="G348" s="945"/>
      <c r="H348" s="945"/>
      <c r="I348" s="945"/>
      <c r="J348" s="945"/>
      <c r="K348" s="945"/>
      <c r="L348" s="945"/>
      <c r="M348" s="945"/>
      <c r="N348" s="945"/>
      <c r="P348" s="499"/>
      <c r="S348" s="304">
        <f>IF(C348="",0,C348)</f>
        <v>0</v>
      </c>
      <c r="T348" s="304">
        <f>IF(E348&lt;&gt;C348,E348,IF(AND(E349&lt;&gt;C349,S347&gt;1),S347,0))</f>
        <v>0</v>
      </c>
      <c r="U348" s="304">
        <f>IF(G348&lt;&gt;E348,G348,IF(AND(G349&lt;&gt;E349,T347&gt;1),T347,0))</f>
        <v>0</v>
      </c>
      <c r="V348" s="304">
        <f>IF(I348&lt;&gt;G348,I348,IF(AND(I349&lt;&gt;G349,U347&gt;1),U347,0))</f>
        <v>0</v>
      </c>
      <c r="W348" s="304">
        <f>IF(K348&lt;&gt;I348,K348,IF(AND(K349&lt;&gt;I349,V347&gt;1),V347,0))</f>
        <v>0</v>
      </c>
      <c r="X348" s="304">
        <f>IF(M348&lt;&gt;K348,M348,IF(AND(M349&lt;&gt;K349,W347&gt;1),W347,0))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79" customFormat="1" ht="15" customHeight="1" x14ac:dyDescent="0.3">
      <c r="B349" s="487" t="s">
        <v>1604</v>
      </c>
      <c r="C349" s="1016"/>
      <c r="D349" s="1016"/>
      <c r="E349" s="1016"/>
      <c r="F349" s="1016"/>
      <c r="G349" s="1016"/>
      <c r="H349" s="1016"/>
      <c r="I349" s="1016"/>
      <c r="J349" s="1016"/>
      <c r="K349" s="1016"/>
      <c r="L349" s="1016"/>
      <c r="M349" s="1016"/>
      <c r="N349" s="1016"/>
      <c r="P349" s="499"/>
      <c r="S349" s="304">
        <f>IF(C349="",0,C349)</f>
        <v>0</v>
      </c>
      <c r="T349" s="304">
        <f>IF(E349&lt;&gt;C349,E349,IF(AND(E348&lt;&gt;C348,S347&gt;1),S347,0))</f>
        <v>0</v>
      </c>
      <c r="U349" s="304">
        <f>IF(G349&lt;&gt;E349,G349,IF(AND(G348&lt;&gt;E348,T347&gt;1),T347,0))</f>
        <v>0</v>
      </c>
      <c r="V349" s="304">
        <f>IF(I349&lt;&gt;G349,I349,IF(AND(I348&lt;&gt;G348,U347&gt;1),U347,0))</f>
        <v>0</v>
      </c>
      <c r="W349" s="304">
        <f>IF(K349&lt;&gt;I349,K349,IF(AND(K348&lt;&gt;I348,V347&gt;1),V347,0))</f>
        <v>0</v>
      </c>
      <c r="X349" s="304">
        <f>IF(M349&lt;&gt;K349,M349,IF(AND(M348&lt;&gt;K348,W347&gt;1),W347,0))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79" customFormat="1" ht="15" customHeight="1" x14ac:dyDescent="0.3">
      <c r="B350" s="978" t="str">
        <f>IF(AD350=1,"ERROR: If radial or ulnar impairment is recorded, do not enter losses for 'both sides.'","")</f>
        <v/>
      </c>
      <c r="C350" s="979"/>
      <c r="D350" s="979"/>
      <c r="E350" s="979"/>
      <c r="F350" s="979"/>
      <c r="G350" s="979"/>
      <c r="H350" s="979"/>
      <c r="I350" s="979"/>
      <c r="J350" s="979"/>
      <c r="K350" s="979"/>
      <c r="L350" s="979"/>
      <c r="M350" s="979"/>
      <c r="N350" s="979"/>
      <c r="O350" s="980"/>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79" ht="12" customHeight="1" x14ac:dyDescent="0.3">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3">
      <c r="B352" s="50" t="s">
        <v>1232</v>
      </c>
      <c r="C352" s="925" t="s">
        <v>1370</v>
      </c>
      <c r="D352" s="925"/>
      <c r="E352" s="925"/>
      <c r="F352" s="925"/>
      <c r="G352" s="925"/>
      <c r="H352" s="925" t="s">
        <v>1795</v>
      </c>
      <c r="I352" s="925"/>
      <c r="J352" s="925"/>
      <c r="K352" s="18"/>
      <c r="L352" s="925" t="s">
        <v>1233</v>
      </c>
      <c r="M352" s="925"/>
      <c r="N352" s="925"/>
      <c r="O352" s="925"/>
      <c r="P352" s="770">
        <f>V354</f>
        <v>0</v>
      </c>
      <c r="R352" s="10"/>
      <c r="S352" s="568" t="s">
        <v>1596</v>
      </c>
      <c r="T352" s="568" t="s">
        <v>1304</v>
      </c>
      <c r="U352" s="568" t="s">
        <v>1305</v>
      </c>
      <c r="V352" s="568" t="s">
        <v>1306</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3">
      <c r="B353" s="146" t="s">
        <v>1245</v>
      </c>
      <c r="C353" s="933"/>
      <c r="D353" s="933"/>
      <c r="E353" s="933"/>
      <c r="F353" s="933"/>
      <c r="G353" s="933"/>
      <c r="H353" s="936">
        <f>IF(C353=$X$127,0.09,IF(C353=$Y$127,0.18,IF(C353=$Z$127,0.27,0)))</f>
        <v>0</v>
      </c>
      <c r="I353" s="936"/>
      <c r="J353" s="936"/>
      <c r="K353" s="146"/>
      <c r="L353" s="933"/>
      <c r="M353" s="933"/>
      <c r="N353" s="933"/>
      <c r="O353" s="21">
        <f>IF(H353&gt;=S353,H353-S353,0)</f>
        <v>0</v>
      </c>
      <c r="P353" s="770"/>
      <c r="R353" s="10"/>
      <c r="S353" s="147">
        <f>IF(L353=$Y$128,0.09,IF(L353=$Z$128,0.18,IF(L353=$AA$128,0.27,0)))</f>
        <v>0</v>
      </c>
      <c r="T353" s="147">
        <f>LARGE(O353:O355,1)</f>
        <v>0</v>
      </c>
      <c r="U353" s="553">
        <f>T353+T354*(1-T353)</f>
        <v>0</v>
      </c>
      <c r="V353" s="553">
        <f>ROUND(U353,2)</f>
        <v>0</v>
      </c>
      <c r="W353" s="878" t="s">
        <v>2196</v>
      </c>
      <c r="X353" s="878"/>
      <c r="Y353" s="878"/>
      <c r="Z353" s="878"/>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3">
      <c r="B354" s="50" t="s">
        <v>1246</v>
      </c>
      <c r="C354" s="933"/>
      <c r="D354" s="933"/>
      <c r="E354" s="933"/>
      <c r="F354" s="933"/>
      <c r="G354" s="933"/>
      <c r="H354" s="936">
        <f>IF(C354=$X$127,0.16,IF(C354=$Y$127,0.32,IF(C354=$Z$127,0.48,0)))</f>
        <v>0</v>
      </c>
      <c r="I354" s="936"/>
      <c r="J354" s="936"/>
      <c r="K354" s="146"/>
      <c r="L354" s="933"/>
      <c r="M354" s="933"/>
      <c r="N354" s="933"/>
      <c r="O354" s="21">
        <f>IF(H354&gt;=S354,H354-S354,0)</f>
        <v>0</v>
      </c>
      <c r="P354" s="77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3">
      <c r="B355" s="50" t="s">
        <v>1247</v>
      </c>
      <c r="C355" s="933"/>
      <c r="D355" s="933"/>
      <c r="E355" s="933"/>
      <c r="F355" s="933"/>
      <c r="G355" s="933"/>
      <c r="H355" s="936">
        <f>IF(C355=$X$127,0.2,IF(C355=$Y$127,0.4,IF(C355=$Z$127,0.6,0)))</f>
        <v>0</v>
      </c>
      <c r="I355" s="936"/>
      <c r="J355" s="936"/>
      <c r="K355" s="146"/>
      <c r="L355" s="933"/>
      <c r="M355" s="933"/>
      <c r="N355" s="933"/>
      <c r="O355" s="21">
        <f>IF(H355&gt;=S355,H355-S355,0)</f>
        <v>0</v>
      </c>
      <c r="P355" s="77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3">
      <c r="B356" s="961"/>
      <c r="C356" s="961"/>
      <c r="D356" s="961"/>
      <c r="E356" s="961"/>
      <c r="F356" s="961"/>
      <c r="G356" s="961"/>
      <c r="H356" s="961"/>
      <c r="I356" s="961"/>
      <c r="J356" s="961"/>
      <c r="K356" s="961"/>
      <c r="L356" s="961"/>
      <c r="M356" s="961"/>
      <c r="N356" s="961"/>
      <c r="O356" s="961"/>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3">
      <c r="A357" s="15"/>
      <c r="B357" s="776" t="s">
        <v>968</v>
      </c>
      <c r="C357" s="930"/>
      <c r="D357" s="931"/>
      <c r="E357" s="757" t="s">
        <v>573</v>
      </c>
      <c r="F357" s="758"/>
      <c r="G357" s="758"/>
      <c r="H357" s="758"/>
      <c r="I357" s="758"/>
      <c r="J357" s="758"/>
      <c r="K357" s="758"/>
      <c r="L357" s="758"/>
      <c r="M357" s="758"/>
      <c r="N357" s="758"/>
      <c r="O357" s="759"/>
      <c r="P357" s="248">
        <f>IF(T357=1,0.15,0)</f>
        <v>0</v>
      </c>
      <c r="R357" s="947"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3">
      <c r="B358" s="776"/>
      <c r="C358" s="930"/>
      <c r="D358" s="931"/>
      <c r="E358" s="757" t="s">
        <v>574</v>
      </c>
      <c r="F358" s="758"/>
      <c r="G358" s="758"/>
      <c r="H358" s="758"/>
      <c r="I358" s="758"/>
      <c r="J358" s="758"/>
      <c r="K358" s="758"/>
      <c r="L358" s="758"/>
      <c r="M358" s="758"/>
      <c r="N358" s="758"/>
      <c r="O358" s="759"/>
      <c r="P358" s="248">
        <f>IF(T358=1,0.25,0)</f>
        <v>0</v>
      </c>
      <c r="R358" s="947"/>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3">
      <c r="B359" s="776"/>
      <c r="C359" s="930"/>
      <c r="D359" s="931"/>
      <c r="E359" s="757" t="s">
        <v>788</v>
      </c>
      <c r="F359" s="758"/>
      <c r="G359" s="758"/>
      <c r="H359" s="758"/>
      <c r="I359" s="758"/>
      <c r="J359" s="758"/>
      <c r="K359" s="758"/>
      <c r="L359" s="758"/>
      <c r="M359" s="758"/>
      <c r="N359" s="758"/>
      <c r="O359" s="759"/>
      <c r="P359" s="248">
        <f>IF(T359=1,0.23,0)</f>
        <v>0</v>
      </c>
      <c r="R359" s="947"/>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3">
      <c r="B360" s="792"/>
      <c r="C360" s="792"/>
      <c r="D360" s="792"/>
      <c r="E360" s="792"/>
      <c r="F360" s="792"/>
      <c r="G360" s="792"/>
      <c r="H360" s="792"/>
      <c r="I360" s="792"/>
      <c r="J360" s="792"/>
      <c r="K360" s="792"/>
      <c r="L360" s="792"/>
      <c r="M360" s="792"/>
      <c r="N360" s="792"/>
      <c r="O360" s="792"/>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3">
      <c r="B361" s="932" t="s">
        <v>1248</v>
      </c>
      <c r="C361" s="932"/>
      <c r="D361" s="932"/>
      <c r="E361" s="932"/>
      <c r="F361" s="932"/>
      <c r="G361" s="932"/>
      <c r="H361" s="932"/>
      <c r="I361" s="932"/>
      <c r="J361" s="932"/>
      <c r="K361" s="932"/>
      <c r="L361" s="932"/>
      <c r="M361" s="932"/>
      <c r="N361" s="932"/>
      <c r="O361" s="317"/>
      <c r="P361" s="21">
        <f>SUMIF(T361:X361,O361,T362:X362)</f>
        <v>0</v>
      </c>
      <c r="R361" s="951" t="s">
        <v>2196</v>
      </c>
      <c r="S361" s="951"/>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3">
      <c r="B362" s="932" t="s">
        <v>1498</v>
      </c>
      <c r="C362" s="932"/>
      <c r="D362" s="932"/>
      <c r="E362" s="932"/>
      <c r="F362" s="932"/>
      <c r="G362" s="932"/>
      <c r="H362" s="932"/>
      <c r="I362" s="932"/>
      <c r="J362" s="932"/>
      <c r="K362" s="932"/>
      <c r="L362" s="932"/>
      <c r="M362" s="932"/>
      <c r="N362" s="932"/>
      <c r="O362" s="317"/>
      <c r="P362" s="21">
        <f>SUMIF(Z361:AD361,O362,Z362:AD362)</f>
        <v>0</v>
      </c>
      <c r="R362" s="951"/>
      <c r="S362" s="951"/>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3">
      <c r="B363" s="792"/>
      <c r="C363" s="792"/>
      <c r="D363" s="792"/>
      <c r="E363" s="792"/>
      <c r="F363" s="792"/>
      <c r="G363" s="792"/>
      <c r="H363" s="792"/>
      <c r="I363" s="792"/>
      <c r="J363" s="792"/>
      <c r="K363" s="792"/>
      <c r="L363" s="792"/>
      <c r="M363" s="792"/>
      <c r="N363" s="792"/>
      <c r="O363" s="792"/>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3">
      <c r="B364" s="879" t="s">
        <v>1249</v>
      </c>
      <c r="C364" s="880"/>
      <c r="D364" s="880"/>
      <c r="E364" s="880"/>
      <c r="F364" s="881"/>
      <c r="G364" s="922" t="s">
        <v>1524</v>
      </c>
      <c r="H364" s="941"/>
      <c r="I364" s="941"/>
      <c r="J364" s="942"/>
      <c r="K364" s="1003"/>
      <c r="L364" s="1004"/>
      <c r="M364" s="1004"/>
      <c r="N364" s="1004"/>
      <c r="O364" s="1005"/>
      <c r="P364" s="770">
        <f>U378</f>
        <v>0</v>
      </c>
      <c r="R364" s="146" t="s">
        <v>1864</v>
      </c>
      <c r="S364" s="50" t="s">
        <v>1304</v>
      </c>
      <c r="T364" s="50" t="s">
        <v>1305</v>
      </c>
      <c r="U364" s="50" t="s">
        <v>1306</v>
      </c>
      <c r="V364" s="940" t="s">
        <v>801</v>
      </c>
      <c r="W364" s="941"/>
      <c r="X364" s="942"/>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3">
      <c r="B365" s="806" t="s">
        <v>628</v>
      </c>
      <c r="C365" s="806"/>
      <c r="D365" s="806"/>
      <c r="E365" s="770">
        <f>P309</f>
        <v>0</v>
      </c>
      <c r="F365" s="770"/>
      <c r="G365" s="925" t="s">
        <v>1941</v>
      </c>
      <c r="H365" s="925"/>
      <c r="I365" s="949"/>
      <c r="J365" s="949"/>
      <c r="K365" s="1006"/>
      <c r="L365" s="1007"/>
      <c r="M365" s="1007"/>
      <c r="N365" s="1007"/>
      <c r="O365" s="1008"/>
      <c r="P365" s="77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3">
      <c r="B366" s="806" t="s">
        <v>382</v>
      </c>
      <c r="C366" s="806"/>
      <c r="D366" s="806"/>
      <c r="E366" s="770">
        <f>P312</f>
        <v>0</v>
      </c>
      <c r="F366" s="770"/>
      <c r="G366" s="925" t="s">
        <v>1941</v>
      </c>
      <c r="H366" s="925"/>
      <c r="I366" s="949"/>
      <c r="J366" s="949"/>
      <c r="K366" s="1006"/>
      <c r="L366" s="1007"/>
      <c r="M366" s="1007"/>
      <c r="N366" s="1007"/>
      <c r="O366" s="1008"/>
      <c r="P366" s="770"/>
      <c r="R366" s="557">
        <f>E366</f>
        <v>0</v>
      </c>
      <c r="S366" s="147">
        <f>LARGE($R$365:$R$379,2)</f>
        <v>0</v>
      </c>
      <c r="T366" s="553">
        <f>U365+S367*(1-U365)</f>
        <v>0</v>
      </c>
      <c r="U366" s="557">
        <f t="shared" si="48"/>
        <v>0</v>
      </c>
      <c r="V366" s="50">
        <f>IF(E366&gt;0,2,0)</f>
        <v>0</v>
      </c>
      <c r="W366" s="531">
        <f>COUNTIF(V365:V379,2)</f>
        <v>0</v>
      </c>
      <c r="X366" s="10"/>
      <c r="Y366" s="10" t="s">
        <v>511</v>
      </c>
      <c r="AA366" s="792"/>
      <c r="AB366" s="792"/>
      <c r="AC366" s="792"/>
      <c r="AD366" s="10"/>
      <c r="AG366" s="10"/>
      <c r="AH366" s="10"/>
      <c r="AI366" s="10"/>
      <c r="AJ366" s="10"/>
      <c r="AK366" s="10"/>
      <c r="AL366" s="10"/>
      <c r="AM366" s="10"/>
      <c r="AN366" s="10"/>
      <c r="AO366" s="10"/>
      <c r="AP366" s="10"/>
      <c r="AQ366" s="10"/>
      <c r="AR366" s="10"/>
      <c r="AS366" s="10"/>
      <c r="AT366" s="10"/>
    </row>
    <row r="367" spans="1:109" ht="15" customHeight="1" x14ac:dyDescent="0.3">
      <c r="B367" s="806" t="s">
        <v>1958</v>
      </c>
      <c r="C367" s="806"/>
      <c r="D367" s="806"/>
      <c r="E367" s="770">
        <f>IF(E607&gt;0,0,P316)</f>
        <v>0</v>
      </c>
      <c r="F367" s="770"/>
      <c r="G367" s="1095" t="s">
        <v>2256</v>
      </c>
      <c r="H367" s="1095"/>
      <c r="I367" s="949"/>
      <c r="J367" s="949"/>
      <c r="K367" s="1006"/>
      <c r="L367" s="1007"/>
      <c r="M367" s="1007"/>
      <c r="N367" s="1007"/>
      <c r="O367" s="1008"/>
      <c r="P367" s="77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2"/>
      <c r="AB367" s="792"/>
      <c r="AC367" s="792"/>
      <c r="AD367" s="10"/>
      <c r="AG367" s="10"/>
      <c r="AH367" s="10"/>
      <c r="AI367" s="10"/>
      <c r="AJ367" s="10"/>
      <c r="AK367" s="10"/>
      <c r="AL367" s="10"/>
      <c r="AM367" s="10"/>
      <c r="AN367" s="10"/>
      <c r="AO367" s="10"/>
      <c r="AP367" s="10"/>
      <c r="AQ367" s="10"/>
      <c r="AR367" s="10"/>
      <c r="AS367" s="10"/>
      <c r="AT367" s="10"/>
    </row>
    <row r="368" spans="1:109" ht="15" customHeight="1" x14ac:dyDescent="0.3">
      <c r="B368" s="806" t="s">
        <v>1416</v>
      </c>
      <c r="C368" s="806"/>
      <c r="D368" s="806"/>
      <c r="E368" s="770">
        <f>P333</f>
        <v>0</v>
      </c>
      <c r="F368" s="770"/>
      <c r="G368" s="935"/>
      <c r="H368" s="935"/>
      <c r="I368" s="936">
        <f t="shared" ref="I368:I374" si="51">IF(AND(Y368&lt;0.01,Y368&gt;0),0.01,ROUND(Y368,2))</f>
        <v>0</v>
      </c>
      <c r="J368" s="936"/>
      <c r="K368" s="1006"/>
      <c r="L368" s="1007"/>
      <c r="M368" s="1007"/>
      <c r="N368" s="1007"/>
      <c r="O368" s="1008"/>
      <c r="P368" s="770"/>
      <c r="R368" s="557">
        <f t="shared" si="49"/>
        <v>0</v>
      </c>
      <c r="S368" s="147">
        <f>LARGE($R$365:$R$379,4)</f>
        <v>0</v>
      </c>
      <c r="T368" s="553">
        <f t="shared" ref="T368:T378" si="52">U367+S369*(1-U367)</f>
        <v>0</v>
      </c>
      <c r="U368" s="557">
        <f t="shared" si="48"/>
        <v>0</v>
      </c>
      <c r="V368" s="50">
        <f t="shared" si="50"/>
        <v>0</v>
      </c>
      <c r="W368" s="10"/>
      <c r="X368" s="10"/>
      <c r="Y368" s="294">
        <f>E368*G368</f>
        <v>0</v>
      </c>
      <c r="Z368" s="604"/>
      <c r="AA368" s="792"/>
      <c r="AB368" s="792"/>
      <c r="AC368" s="792"/>
      <c r="AD368" s="10"/>
      <c r="AG368" s="10"/>
      <c r="AH368" s="10"/>
      <c r="AI368" s="10"/>
      <c r="AJ368" s="10"/>
      <c r="AK368" s="10"/>
      <c r="AL368" s="10"/>
      <c r="AM368" s="10"/>
      <c r="AN368" s="10"/>
      <c r="AO368" s="10"/>
      <c r="AP368" s="10"/>
      <c r="AQ368" s="10"/>
      <c r="AR368" s="10"/>
      <c r="AS368" s="10"/>
      <c r="AT368" s="10"/>
    </row>
    <row r="369" spans="2:46" ht="15" customHeight="1" x14ac:dyDescent="0.3">
      <c r="B369" s="757" t="s">
        <v>1417</v>
      </c>
      <c r="C369" s="758"/>
      <c r="D369" s="759"/>
      <c r="E369" s="770">
        <f>P334</f>
        <v>0</v>
      </c>
      <c r="F369" s="770"/>
      <c r="G369" s="935"/>
      <c r="H369" s="935"/>
      <c r="I369" s="936">
        <f t="shared" si="51"/>
        <v>0</v>
      </c>
      <c r="J369" s="936"/>
      <c r="K369" s="1006"/>
      <c r="L369" s="1007"/>
      <c r="M369" s="1007"/>
      <c r="N369" s="1007"/>
      <c r="O369" s="1008"/>
      <c r="P369" s="770"/>
      <c r="R369" s="557">
        <f t="shared" si="49"/>
        <v>0</v>
      </c>
      <c r="S369" s="147">
        <f>LARGE($R$365:$R$379,5)</f>
        <v>0</v>
      </c>
      <c r="T369" s="553">
        <f t="shared" si="52"/>
        <v>0</v>
      </c>
      <c r="U369" s="557">
        <f t="shared" si="48"/>
        <v>0</v>
      </c>
      <c r="V369" s="50">
        <f t="shared" si="50"/>
        <v>0</v>
      </c>
      <c r="W369" s="10"/>
      <c r="X369" s="10"/>
      <c r="Y369" s="294">
        <f t="shared" ref="Y369:Y374" si="53">E369*G369</f>
        <v>0</v>
      </c>
      <c r="Z369" s="604"/>
      <c r="AA369" s="792"/>
      <c r="AB369" s="792"/>
      <c r="AC369" s="792"/>
      <c r="AD369" s="10"/>
      <c r="AE369" s="10"/>
      <c r="AF369" s="10"/>
      <c r="AG369" s="10"/>
      <c r="AH369" s="10"/>
      <c r="AI369" s="10"/>
      <c r="AJ369" s="10"/>
      <c r="AK369" s="10"/>
      <c r="AL369" s="10"/>
      <c r="AM369" s="10"/>
      <c r="AN369" s="10"/>
      <c r="AO369" s="10"/>
      <c r="AP369" s="10"/>
      <c r="AQ369" s="10"/>
      <c r="AR369" s="10"/>
      <c r="AS369" s="10"/>
      <c r="AT369" s="10"/>
    </row>
    <row r="370" spans="2:46" ht="15" customHeight="1" x14ac:dyDescent="0.3">
      <c r="B370" s="757" t="s">
        <v>1418</v>
      </c>
      <c r="C370" s="758"/>
      <c r="D370" s="759"/>
      <c r="E370" s="770">
        <f>P335</f>
        <v>0</v>
      </c>
      <c r="F370" s="770"/>
      <c r="G370" s="935"/>
      <c r="H370" s="935"/>
      <c r="I370" s="936">
        <f t="shared" si="51"/>
        <v>0</v>
      </c>
      <c r="J370" s="936"/>
      <c r="K370" s="1006"/>
      <c r="L370" s="1007"/>
      <c r="M370" s="1007"/>
      <c r="N370" s="1007"/>
      <c r="O370" s="1008"/>
      <c r="P370" s="77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3">
      <c r="B371" s="757" t="s">
        <v>1419</v>
      </c>
      <c r="C371" s="758"/>
      <c r="D371" s="759"/>
      <c r="E371" s="770">
        <f>P336</f>
        <v>0</v>
      </c>
      <c r="F371" s="770"/>
      <c r="G371" s="935"/>
      <c r="H371" s="935"/>
      <c r="I371" s="936">
        <f t="shared" si="51"/>
        <v>0</v>
      </c>
      <c r="J371" s="936"/>
      <c r="K371" s="1006"/>
      <c r="L371" s="1007"/>
      <c r="M371" s="1007"/>
      <c r="N371" s="1007"/>
      <c r="O371" s="1008"/>
      <c r="P371" s="77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3">
      <c r="B372" s="806" t="s">
        <v>1985</v>
      </c>
      <c r="C372" s="806"/>
      <c r="D372" s="806"/>
      <c r="E372" s="770">
        <f>P345</f>
        <v>0</v>
      </c>
      <c r="F372" s="770"/>
      <c r="G372" s="935"/>
      <c r="H372" s="935"/>
      <c r="I372" s="936">
        <f t="shared" si="51"/>
        <v>0</v>
      </c>
      <c r="J372" s="936"/>
      <c r="K372" s="1006"/>
      <c r="L372" s="1007"/>
      <c r="M372" s="1007"/>
      <c r="N372" s="1007"/>
      <c r="O372" s="1008"/>
      <c r="P372" s="77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3">
      <c r="B373" s="806" t="s">
        <v>1226</v>
      </c>
      <c r="C373" s="806"/>
      <c r="D373" s="806"/>
      <c r="E373" s="770">
        <f>P350</f>
        <v>0</v>
      </c>
      <c r="F373" s="770"/>
      <c r="G373" s="935"/>
      <c r="H373" s="935"/>
      <c r="I373" s="936">
        <f t="shared" si="51"/>
        <v>0</v>
      </c>
      <c r="J373" s="936"/>
      <c r="K373" s="633"/>
      <c r="L373" s="634"/>
      <c r="M373" s="634"/>
      <c r="N373" s="634"/>
      <c r="O373" s="635"/>
      <c r="P373" s="77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3">
      <c r="B374" s="806" t="s">
        <v>1232</v>
      </c>
      <c r="C374" s="806"/>
      <c r="D374" s="806"/>
      <c r="E374" s="770">
        <f>P352</f>
        <v>0</v>
      </c>
      <c r="F374" s="770"/>
      <c r="G374" s="935"/>
      <c r="H374" s="935"/>
      <c r="I374" s="936">
        <f t="shared" si="51"/>
        <v>0</v>
      </c>
      <c r="J374" s="936"/>
      <c r="K374" s="633"/>
      <c r="L374" s="634"/>
      <c r="M374" s="634"/>
      <c r="N374" s="634"/>
      <c r="O374" s="635"/>
      <c r="P374" s="77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3">
      <c r="B375" s="806" t="s">
        <v>383</v>
      </c>
      <c r="C375" s="806"/>
      <c r="D375" s="806"/>
      <c r="E375" s="770">
        <f>P357</f>
        <v>0</v>
      </c>
      <c r="F375" s="770"/>
      <c r="G375" s="925" t="s">
        <v>1941</v>
      </c>
      <c r="H375" s="925"/>
      <c r="I375" s="949"/>
      <c r="J375" s="949"/>
      <c r="K375" s="972" t="str">
        <f>IF(AND(P316&gt;0,E607&gt;0),"A value has been granted for motor loss. Additional impairment value is not allowed for reduced ROM in the same extremity.","")</f>
        <v/>
      </c>
      <c r="L375" s="973"/>
      <c r="M375" s="973"/>
      <c r="N375" s="973"/>
      <c r="O375" s="974"/>
      <c r="P375" s="77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3">
      <c r="B376" s="806" t="s">
        <v>384</v>
      </c>
      <c r="C376" s="806"/>
      <c r="D376" s="806"/>
      <c r="E376" s="770">
        <f>P358</f>
        <v>0</v>
      </c>
      <c r="F376" s="770"/>
      <c r="G376" s="925" t="s">
        <v>1941</v>
      </c>
      <c r="H376" s="925"/>
      <c r="I376" s="949"/>
      <c r="J376" s="949"/>
      <c r="K376" s="972"/>
      <c r="L376" s="973"/>
      <c r="M376" s="973"/>
      <c r="N376" s="973"/>
      <c r="O376" s="974"/>
      <c r="P376" s="77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3">
      <c r="B377" s="806" t="s">
        <v>807</v>
      </c>
      <c r="C377" s="806"/>
      <c r="D377" s="806"/>
      <c r="E377" s="770">
        <f>P359</f>
        <v>0</v>
      </c>
      <c r="F377" s="770"/>
      <c r="G377" s="925" t="s">
        <v>1941</v>
      </c>
      <c r="H377" s="925"/>
      <c r="I377" s="949"/>
      <c r="J377" s="949"/>
      <c r="K377" s="972"/>
      <c r="L377" s="973"/>
      <c r="M377" s="973"/>
      <c r="N377" s="973"/>
      <c r="O377" s="974"/>
      <c r="P377" s="77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3">
      <c r="B378" s="806" t="s">
        <v>1446</v>
      </c>
      <c r="C378" s="806"/>
      <c r="D378" s="806"/>
      <c r="E378" s="770">
        <f>P361</f>
        <v>0</v>
      </c>
      <c r="F378" s="770"/>
      <c r="G378" s="935"/>
      <c r="H378" s="935"/>
      <c r="I378" s="936">
        <f>IF(AND(Y378&lt;0.01,Y378&gt;0),0.01,ROUND(Y378,2))</f>
        <v>0</v>
      </c>
      <c r="J378" s="936"/>
      <c r="K378" s="972"/>
      <c r="L378" s="973"/>
      <c r="M378" s="973"/>
      <c r="N378" s="973"/>
      <c r="O378" s="974"/>
      <c r="P378" s="77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3">
      <c r="B379" s="804" t="s">
        <v>1253</v>
      </c>
      <c r="C379" s="804"/>
      <c r="D379" s="804"/>
      <c r="E379" s="872">
        <f>P362</f>
        <v>0</v>
      </c>
      <c r="F379" s="872"/>
      <c r="G379" s="1009"/>
      <c r="H379" s="1009"/>
      <c r="I379" s="992">
        <f>IF(AND(Y379&lt;0.01,Y379&gt;0),0.01,ROUND(Y379,2))</f>
        <v>0</v>
      </c>
      <c r="J379" s="992"/>
      <c r="K379" s="975"/>
      <c r="L379" s="976"/>
      <c r="M379" s="976"/>
      <c r="N379" s="976"/>
      <c r="O379" s="977"/>
      <c r="P379" s="77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3">
      <c r="B380" s="958" t="s">
        <v>1250</v>
      </c>
      <c r="C380" s="958"/>
      <c r="D380" s="958"/>
      <c r="E380" s="958"/>
      <c r="F380" s="958"/>
      <c r="G380" s="958"/>
      <c r="H380" s="958"/>
      <c r="I380" s="958"/>
      <c r="J380" s="958"/>
      <c r="K380" s="958"/>
      <c r="L380" s="958"/>
      <c r="M380" s="958"/>
      <c r="N380" s="958"/>
      <c r="O380" s="958"/>
      <c r="P380" s="770"/>
      <c r="R380" s="14"/>
      <c r="S380" s="142"/>
      <c r="T380" s="129"/>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3">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3">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3">
      <c r="B383" s="910" t="s">
        <v>1251</v>
      </c>
      <c r="C383" s="1119"/>
      <c r="D383" s="1119"/>
      <c r="E383" s="1119"/>
      <c r="F383" s="1119"/>
      <c r="G383" s="1119"/>
      <c r="H383" s="1119"/>
      <c r="I383" s="1119"/>
      <c r="J383" s="1119"/>
      <c r="K383" s="1119"/>
      <c r="L383" s="1119"/>
      <c r="M383" s="1119"/>
      <c r="N383" s="1119"/>
      <c r="O383" s="1119"/>
      <c r="P383" s="112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3">
      <c r="B384" s="806" t="s">
        <v>1484</v>
      </c>
      <c r="C384" s="806"/>
      <c r="D384" s="806"/>
      <c r="E384" s="806"/>
      <c r="F384" s="806"/>
      <c r="G384" s="806"/>
      <c r="H384" s="806"/>
      <c r="I384" s="806"/>
      <c r="J384" s="806"/>
      <c r="K384" s="806"/>
      <c r="L384" s="806"/>
      <c r="M384" s="806"/>
      <c r="N384" s="806"/>
      <c r="O384" s="806"/>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3">
      <c r="A385" s="15"/>
      <c r="B385" s="1023"/>
      <c r="C385" s="1023"/>
      <c r="D385" s="1023"/>
      <c r="E385" s="1023"/>
      <c r="F385" s="1023"/>
      <c r="G385" s="1023"/>
      <c r="H385" s="1023"/>
      <c r="I385" s="1023"/>
      <c r="J385" s="1023"/>
      <c r="K385" s="1023"/>
      <c r="L385" s="1023"/>
      <c r="M385" s="1023"/>
      <c r="N385" s="1023"/>
      <c r="O385" s="1023"/>
      <c r="P385" s="21">
        <f>IF(R385&gt;1,1,0)</f>
        <v>0</v>
      </c>
      <c r="R385" s="598">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3">
      <c r="A386" s="15"/>
      <c r="B386" s="806" t="s">
        <v>1622</v>
      </c>
      <c r="C386" s="806"/>
      <c r="D386" s="806"/>
      <c r="E386" s="806"/>
      <c r="F386" s="1023"/>
      <c r="G386" s="1023"/>
      <c r="H386" s="806" t="s">
        <v>715</v>
      </c>
      <c r="I386" s="806"/>
      <c r="J386" s="806"/>
      <c r="K386" s="806"/>
      <c r="L386" s="806"/>
      <c r="M386" s="806"/>
      <c r="N386" s="806"/>
      <c r="O386" s="806"/>
      <c r="P386" s="21">
        <f>IF($P$385&gt;0,0,IF(S386=1,0.1,0))</f>
        <v>0</v>
      </c>
      <c r="R386" s="555" t="b">
        <v>0</v>
      </c>
      <c r="S386" s="578">
        <f>IF(R386=TRUE,1,0)</f>
        <v>0</v>
      </c>
      <c r="T386" s="10"/>
      <c r="U386" s="10"/>
      <c r="V386" s="10"/>
      <c r="W386" s="10">
        <v>1E-4</v>
      </c>
      <c r="X386" s="10"/>
      <c r="Y386" s="135"/>
      <c r="Z386" s="739"/>
      <c r="AA386" s="739"/>
      <c r="AB386" s="739"/>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3">
      <c r="B387" s="1118" t="str">
        <f>IF(AND(P385=1,T389&gt;0),"ERROR: Hand loss has occurred proximal to the metacarpals. Uncheck boxes at left.","")</f>
        <v/>
      </c>
      <c r="C387" s="1118"/>
      <c r="D387" s="1118"/>
      <c r="E387" s="1118"/>
      <c r="F387" s="1023"/>
      <c r="G387" s="1023"/>
      <c r="H387" s="806" t="s">
        <v>1258</v>
      </c>
      <c r="I387" s="806"/>
      <c r="J387" s="806"/>
      <c r="K387" s="806"/>
      <c r="L387" s="806"/>
      <c r="M387" s="806"/>
      <c r="N387" s="806"/>
      <c r="O387" s="806"/>
      <c r="P387" s="21">
        <f>IF($P$385&gt;0,0,IF(S387=1,0.1,0))</f>
        <v>0</v>
      </c>
      <c r="R387" s="555" t="b">
        <v>0</v>
      </c>
      <c r="S387" s="578">
        <f>IF(R387=TRUE,1,0)</f>
        <v>0</v>
      </c>
      <c r="T387" s="50"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3">
      <c r="B388" s="1118"/>
      <c r="C388" s="1118"/>
      <c r="D388" s="1118"/>
      <c r="E388" s="1118"/>
      <c r="F388" s="1023"/>
      <c r="G388" s="1023"/>
      <c r="H388" s="806" t="s">
        <v>1260</v>
      </c>
      <c r="I388" s="806"/>
      <c r="J388" s="806"/>
      <c r="K388" s="806"/>
      <c r="L388" s="806"/>
      <c r="M388" s="806"/>
      <c r="N388" s="806"/>
      <c r="O388" s="806"/>
      <c r="P388" s="21">
        <f>IF($P$385&gt;0,0,IF(S388=1,0.1,0))</f>
        <v>0</v>
      </c>
      <c r="R388" s="555" t="b">
        <v>0</v>
      </c>
      <c r="S388" s="578">
        <f>IF(R388=TRUE,1,0)</f>
        <v>0</v>
      </c>
      <c r="T388" s="50"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3">
      <c r="B389" s="1118"/>
      <c r="C389" s="1118"/>
      <c r="D389" s="1118"/>
      <c r="E389" s="1118"/>
      <c r="F389" s="1023"/>
      <c r="G389" s="1023"/>
      <c r="H389" s="806" t="s">
        <v>1262</v>
      </c>
      <c r="I389" s="806"/>
      <c r="J389" s="806"/>
      <c r="K389" s="806"/>
      <c r="L389" s="806"/>
      <c r="M389" s="806"/>
      <c r="N389" s="806"/>
      <c r="O389" s="806"/>
      <c r="P389" s="21">
        <f>IF($P$385&gt;0,0,IF(S389=1,0.1,0))</f>
        <v>0</v>
      </c>
      <c r="R389" s="555" t="b">
        <v>0</v>
      </c>
      <c r="S389" s="578">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3">
      <c r="B390" s="1118"/>
      <c r="C390" s="1118"/>
      <c r="D390" s="1118"/>
      <c r="E390" s="1118"/>
      <c r="F390" s="1023"/>
      <c r="G390" s="1023"/>
      <c r="H390" s="806" t="s">
        <v>894</v>
      </c>
      <c r="I390" s="806"/>
      <c r="J390" s="806"/>
      <c r="K390" s="806"/>
      <c r="L390" s="806"/>
      <c r="M390" s="806"/>
      <c r="N390" s="806"/>
      <c r="O390" s="806"/>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3">
      <c r="B391" s="792"/>
      <c r="C391" s="792"/>
      <c r="D391" s="792"/>
      <c r="E391" s="792"/>
      <c r="F391" s="792"/>
      <c r="G391" s="792"/>
      <c r="H391" s="792"/>
      <c r="I391" s="792"/>
      <c r="J391" s="792"/>
      <c r="K391" s="792"/>
      <c r="L391" s="792"/>
      <c r="M391" s="792"/>
      <c r="N391" s="792"/>
      <c r="O391" s="792"/>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3">
      <c r="B392" s="925" t="s">
        <v>1594</v>
      </c>
      <c r="C392" s="925"/>
      <c r="D392" s="925"/>
      <c r="E392" s="925"/>
      <c r="F392" s="925"/>
      <c r="G392" s="925"/>
      <c r="H392" s="925"/>
      <c r="I392" s="925"/>
      <c r="J392" s="925"/>
      <c r="K392" s="925"/>
      <c r="L392" s="925"/>
      <c r="M392" s="925"/>
      <c r="N392" s="925"/>
      <c r="O392" s="925"/>
      <c r="P392" s="845"/>
      <c r="R392" s="10"/>
      <c r="S392" s="10"/>
      <c r="T392" s="922" t="s">
        <v>2188</v>
      </c>
      <c r="U392" s="923"/>
      <c r="V392" s="10"/>
      <c r="W392" s="10"/>
      <c r="X392" s="10"/>
      <c r="Y392" s="10"/>
      <c r="Z392" s="10"/>
      <c r="AA392" s="10"/>
      <c r="AB392" s="10"/>
      <c r="AC392" s="10"/>
      <c r="AD392" s="10"/>
      <c r="AE392" s="10"/>
      <c r="AF392" s="10"/>
      <c r="AG392" s="10"/>
      <c r="AH392" s="10"/>
      <c r="AI392" s="10"/>
      <c r="AJ392" s="776" t="s">
        <v>692</v>
      </c>
      <c r="AK392" s="776" t="s">
        <v>693</v>
      </c>
      <c r="AL392" s="776" t="s">
        <v>895</v>
      </c>
      <c r="AM392" s="776" t="s">
        <v>896</v>
      </c>
      <c r="AN392" s="10"/>
      <c r="AO392" s="10"/>
      <c r="AP392" s="10"/>
      <c r="AQ392" s="10"/>
      <c r="AR392" s="10"/>
      <c r="AS392" s="10"/>
      <c r="AT392" s="10"/>
    </row>
    <row r="393" spans="1:46" ht="27" customHeight="1" x14ac:dyDescent="0.3">
      <c r="B393" s="18" t="s">
        <v>897</v>
      </c>
      <c r="C393" s="925" t="s">
        <v>1595</v>
      </c>
      <c r="D393" s="925"/>
      <c r="E393" s="925"/>
      <c r="F393" s="925"/>
      <c r="G393" s="927" t="s">
        <v>898</v>
      </c>
      <c r="H393" s="927"/>
      <c r="I393" s="927"/>
      <c r="J393" s="927"/>
      <c r="K393" s="925"/>
      <c r="L393" s="925"/>
      <c r="M393" s="925"/>
      <c r="N393" s="925"/>
      <c r="O393" s="925"/>
      <c r="P393" s="846"/>
      <c r="R393" s="10"/>
      <c r="S393" s="50" t="s">
        <v>1654</v>
      </c>
      <c r="T393" s="128" t="s">
        <v>1595</v>
      </c>
      <c r="U393" s="128" t="s">
        <v>1596</v>
      </c>
      <c r="V393" s="940" t="s">
        <v>1083</v>
      </c>
      <c r="W393" s="941"/>
      <c r="X393" s="941"/>
      <c r="Y393" s="942"/>
      <c r="Z393" s="10"/>
      <c r="AA393" s="10"/>
      <c r="AB393" s="10"/>
      <c r="AC393" s="10"/>
      <c r="AD393" s="10"/>
      <c r="AE393" s="10"/>
      <c r="AF393" s="10"/>
      <c r="AG393" s="10"/>
      <c r="AH393" s="10"/>
      <c r="AI393" s="10"/>
      <c r="AJ393" s="776"/>
      <c r="AK393" s="776"/>
      <c r="AL393" s="776"/>
      <c r="AM393" s="776"/>
      <c r="AN393" s="10"/>
      <c r="AO393" s="10"/>
      <c r="AP393" s="10"/>
      <c r="AQ393" s="10"/>
      <c r="AR393" s="10"/>
      <c r="AS393" s="10"/>
      <c r="AT393" s="10"/>
    </row>
    <row r="394" spans="1:46" ht="13.5" customHeight="1" x14ac:dyDescent="0.3">
      <c r="B394" s="146" t="s">
        <v>899</v>
      </c>
      <c r="C394" s="745"/>
      <c r="D394" s="835"/>
      <c r="E394" s="948">
        <f>UETable!BF64</f>
        <v>0</v>
      </c>
      <c r="F394" s="948"/>
      <c r="G394" s="745"/>
      <c r="H394" s="835"/>
      <c r="I394" s="929">
        <f>IF(C394="",0,IF(OR(C394&lt;=0,G394&lt;=0),E394,IF(G394&lt;C394,0,UETable!BK64)))</f>
        <v>0</v>
      </c>
      <c r="J394" s="929"/>
      <c r="K394" s="946" t="str">
        <f>IF(OR(C394="NA",G394="NA"),"",IF(AND(C394&lt;&gt;"",G394=""),"Enter contralateral or NA.",IF(AND(C394="",G394&lt;&gt;""),"Need data","")))</f>
        <v/>
      </c>
      <c r="L394" s="946"/>
      <c r="M394" s="946"/>
      <c r="N394" s="946"/>
      <c r="O394" s="946"/>
      <c r="P394" s="846"/>
      <c r="R394" s="10"/>
      <c r="S394" s="50">
        <v>15</v>
      </c>
      <c r="T394" s="50" t="str">
        <f>IF(OR(C394="",C394="NA"),"",IF(C394&gt;S394,S394,IF(C394&lt;0,0,C394)))</f>
        <v/>
      </c>
      <c r="U394" s="50" t="str">
        <f>IF(OR(G394="",G394="NA"),"",IF(G394&gt;S394,S394,IF(G394&lt;0,0,G394)))</f>
        <v/>
      </c>
      <c r="V394" s="562" t="str">
        <f>IF(Y394="","",ROUND(Y394,0))</f>
        <v/>
      </c>
      <c r="W394" s="1166"/>
      <c r="X394" s="1167"/>
      <c r="Y394" s="563" t="str">
        <f>IF(T394="","",IF(OR(U394="",U394=0,U394&lt;T394),T394,(T394*15)/U394))</f>
        <v/>
      </c>
      <c r="Z394" s="10"/>
      <c r="AA394" s="10"/>
      <c r="AB394" s="10"/>
      <c r="AC394" s="10"/>
      <c r="AD394" s="10"/>
      <c r="AE394" s="10"/>
      <c r="AF394" s="10"/>
      <c r="AG394" s="10"/>
      <c r="AH394" s="10"/>
      <c r="AI394" s="10"/>
      <c r="AJ394" s="776"/>
      <c r="AK394" s="776"/>
      <c r="AL394" s="776"/>
      <c r="AM394" s="776"/>
      <c r="AN394" s="10"/>
      <c r="AO394" s="10"/>
      <c r="AP394" s="10"/>
      <c r="AQ394" s="10"/>
      <c r="AR394" s="10"/>
      <c r="AS394" s="10"/>
      <c r="AT394" s="10"/>
    </row>
    <row r="395" spans="1:46" ht="13.5" customHeight="1" x14ac:dyDescent="0.3">
      <c r="B395" s="146" t="s">
        <v>900</v>
      </c>
      <c r="C395" s="745"/>
      <c r="D395" s="835"/>
      <c r="E395" s="948">
        <f>UETable!BF65</f>
        <v>0</v>
      </c>
      <c r="F395" s="948"/>
      <c r="G395" s="745"/>
      <c r="H395" s="835"/>
      <c r="I395" s="929">
        <f>IF(C395="",0,IF(OR(C395&lt;=0,G395&lt;=0),E395,IF(G395&lt;C395,0,UETable!BK65)))</f>
        <v>0</v>
      </c>
      <c r="J395" s="929"/>
      <c r="K395" s="946" t="str">
        <f>IF(OR(C395="NA",G395="NA"),"",IF(AND(C395&lt;&gt;"",G395=""),"Enter contralateral or NA.",IF(AND(C395="",G395&lt;&gt;""),"Need data","")))</f>
        <v/>
      </c>
      <c r="L395" s="946"/>
      <c r="M395" s="946"/>
      <c r="N395" s="946"/>
      <c r="O395" s="946"/>
      <c r="P395" s="846"/>
      <c r="R395" s="10"/>
      <c r="S395" s="50">
        <v>30</v>
      </c>
      <c r="T395" s="50" t="str">
        <f>IF(OR(C395="",C395="NA"),"",IF(C395&gt;S395,S395,IF(C395&lt;0,0,C395)))</f>
        <v/>
      </c>
      <c r="U395" s="50" t="str">
        <f>IF(OR(G395="",G395="NA"),"",IF(G395&gt;S395,S395,IF(G395&lt;0,0,G395)))</f>
        <v/>
      </c>
      <c r="V395" s="562" t="str">
        <f>IF(Y395="","",ROUND(Y395,0))</f>
        <v/>
      </c>
      <c r="W395" s="1098"/>
      <c r="X395" s="1168"/>
      <c r="Y395" s="563" t="str">
        <f>IF(T395="","",IF(OR(U395="",U395=0,U395&lt;T395),T395,(T395*30)/U395))</f>
        <v/>
      </c>
      <c r="Z395" s="10"/>
      <c r="AA395" s="10"/>
      <c r="AB395" s="61"/>
      <c r="AC395" s="193">
        <f>MAX(E396,E397)</f>
        <v>0</v>
      </c>
      <c r="AD395" s="806" t="s">
        <v>1942</v>
      </c>
      <c r="AE395" s="806"/>
      <c r="AF395" s="806"/>
      <c r="AG395" s="806"/>
      <c r="AH395" s="10"/>
      <c r="AI395" s="10"/>
      <c r="AJ395" s="776"/>
      <c r="AK395" s="776"/>
      <c r="AL395" s="776"/>
      <c r="AM395" s="776"/>
      <c r="AN395" s="10"/>
      <c r="AO395" s="10"/>
      <c r="AP395" s="10"/>
      <c r="AQ395" s="10"/>
      <c r="AR395" s="10"/>
      <c r="AS395" s="10"/>
      <c r="AT395" s="10"/>
    </row>
    <row r="396" spans="1:46" ht="13.5" customHeight="1" x14ac:dyDescent="0.3">
      <c r="B396" s="146" t="s">
        <v>901</v>
      </c>
      <c r="C396" s="745"/>
      <c r="D396" s="835"/>
      <c r="E396" s="948">
        <f>IF(AND($AJ$396=1,$AK$396=1),"ERROR",UETable!BF66)</f>
        <v>0</v>
      </c>
      <c r="F396" s="948"/>
      <c r="G396" s="1134" t="str">
        <f>IF(AND($AK$396=1,$AJ$396=1),"Cannot rate ROM and ankylosis.","")</f>
        <v/>
      </c>
      <c r="H396" s="1134"/>
      <c r="I396" s="1134"/>
      <c r="J396" s="1134"/>
      <c r="K396" s="1134"/>
      <c r="L396" s="1134"/>
      <c r="M396" s="1134"/>
      <c r="N396" s="1134"/>
      <c r="O396" s="1134"/>
      <c r="P396" s="846"/>
      <c r="R396" s="10"/>
      <c r="S396" s="50">
        <v>15</v>
      </c>
      <c r="T396" s="50" t="str">
        <f>IF(OR(C396="",C396="NA"),"",IF(C396&gt;S396,S396,IF(C396&lt;0,0,C396)))</f>
        <v/>
      </c>
      <c r="U396" s="10"/>
      <c r="V396" s="940" t="s">
        <v>2189</v>
      </c>
      <c r="W396" s="941"/>
      <c r="X396" s="941"/>
      <c r="Y396" s="942"/>
      <c r="AB396" s="10"/>
      <c r="AC396" s="194">
        <f>IF(AND(AJ396=1,AK396=1),"ERROR",I394+I395+AC395)</f>
        <v>0</v>
      </c>
      <c r="AD396" s="50" t="s">
        <v>902</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3">
      <c r="B397" s="146" t="s">
        <v>903</v>
      </c>
      <c r="C397" s="745"/>
      <c r="D397" s="835"/>
      <c r="E397" s="948">
        <f>IF(AND($AJ$396=1,$AK$396=1),"ERROR",UETable!BF67)</f>
        <v>0</v>
      </c>
      <c r="F397" s="948"/>
      <c r="G397" s="1134" t="str">
        <f>IF(AND($AK$396=1,$AJ$396=1),"Cannot rate ROM and ankylosis.",IF(AND(E396&gt;0,E397&gt;0),"Multiple ankylosis values; use higher value only.",""))</f>
        <v/>
      </c>
      <c r="H397" s="1134"/>
      <c r="I397" s="1134"/>
      <c r="J397" s="1134"/>
      <c r="K397" s="1134"/>
      <c r="L397" s="1134"/>
      <c r="M397" s="1134"/>
      <c r="N397" s="1134"/>
      <c r="O397" s="1134"/>
      <c r="P397" s="847"/>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3">
      <c r="B398" s="1099" t="s">
        <v>904</v>
      </c>
      <c r="C398" s="1100"/>
      <c r="D398" s="1100"/>
      <c r="E398" s="1100"/>
      <c r="F398" s="1100"/>
      <c r="G398" s="1100"/>
      <c r="H398" s="1100"/>
      <c r="I398" s="1100"/>
      <c r="J398" s="1100"/>
      <c r="K398" s="1100"/>
      <c r="L398" s="1100"/>
      <c r="M398" s="1100"/>
      <c r="N398" s="1100"/>
      <c r="O398" s="1101"/>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3">
      <c r="B399" s="18" t="s">
        <v>905</v>
      </c>
      <c r="C399" s="925" t="s">
        <v>1595</v>
      </c>
      <c r="D399" s="925"/>
      <c r="E399" s="925"/>
      <c r="F399" s="925"/>
      <c r="G399" s="927" t="s">
        <v>898</v>
      </c>
      <c r="H399" s="927"/>
      <c r="I399" s="927"/>
      <c r="J399" s="927"/>
      <c r="K399" s="925"/>
      <c r="L399" s="925"/>
      <c r="M399" s="925"/>
      <c r="N399" s="925"/>
      <c r="O399" s="925"/>
      <c r="P399" s="845"/>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3">
      <c r="B400" s="147" t="s">
        <v>906</v>
      </c>
      <c r="C400" s="708"/>
      <c r="D400" s="708"/>
      <c r="E400" s="948">
        <f>UETable!BF70</f>
        <v>0</v>
      </c>
      <c r="F400" s="948"/>
      <c r="G400" s="708"/>
      <c r="H400" s="708"/>
      <c r="I400" s="929">
        <f>IF(C400="",0,IF(OR(C400&lt;=0,G400&lt;=0),E400,IF(G400&lt;C400,0,UETable!BK70)))</f>
        <v>0</v>
      </c>
      <c r="J400" s="929"/>
      <c r="K400" s="946" t="str">
        <f>IF(OR(C400="NA",G400="NA"),"",IF(AND(C400&lt;&gt;"",G400=""),"Enter contralateral or NA.",IF(AND(C400="",G400&lt;&gt;""),"Need data","")))</f>
        <v/>
      </c>
      <c r="L400" s="946"/>
      <c r="M400" s="946"/>
      <c r="N400" s="946"/>
      <c r="O400" s="946"/>
      <c r="P400" s="846"/>
      <c r="R400" s="10"/>
      <c r="S400" s="50">
        <v>60</v>
      </c>
      <c r="T400" s="50" t="str">
        <f t="shared" ref="T400:T407" si="55">IF(OR(C400="",C400="NA"),"",IF(C400&gt;S400,S400,IF(C400&lt;0,0,C400)))</f>
        <v/>
      </c>
      <c r="U400" s="50" t="str">
        <f>IF(OR(G400="",G400="NA"),"",IF(G400&gt;S400,S400,IF(G400&lt;0,0,G400)))</f>
        <v/>
      </c>
      <c r="V400" s="562" t="str">
        <f>IF(Y400="","",ROUND(Y400,0))</f>
        <v/>
      </c>
      <c r="W400" s="798"/>
      <c r="X400" s="798"/>
      <c r="Y400" s="563" t="str">
        <f>IF(T400="","",IF(OR(U400="",U400=0,U400&lt;T400),T400,(T400*60)/U400))</f>
        <v/>
      </c>
      <c r="Z400" s="10"/>
      <c r="AA400" s="10"/>
      <c r="AB400" s="10"/>
      <c r="AC400" s="10"/>
      <c r="AD400" s="10"/>
      <c r="AE400" s="10"/>
      <c r="AF400" s="10"/>
      <c r="AG400" s="10"/>
      <c r="AH400" s="10"/>
      <c r="AN400" s="10"/>
      <c r="AO400" s="10"/>
      <c r="AP400" s="10"/>
      <c r="AQ400" s="10"/>
      <c r="AR400" s="10"/>
      <c r="AS400" s="10"/>
      <c r="AT400" s="10"/>
    </row>
    <row r="401" spans="1:46" ht="13.5" customHeight="1" x14ac:dyDescent="0.3">
      <c r="B401" s="147" t="s">
        <v>1205</v>
      </c>
      <c r="C401" s="708"/>
      <c r="D401" s="708"/>
      <c r="E401" s="948">
        <f>IF(AND($AJ$407=1,$AK$407=1),"ERROR",UETable!BF71)</f>
        <v>0</v>
      </c>
      <c r="F401" s="948"/>
      <c r="G401" s="946" t="str">
        <f>IF(AND($AK$407=1,$AJ$407=1),"Cannot rate ROM and ankylosis.","")</f>
        <v/>
      </c>
      <c r="H401" s="946"/>
      <c r="I401" s="946"/>
      <c r="J401" s="946"/>
      <c r="K401" s="946"/>
      <c r="L401" s="946"/>
      <c r="M401" s="946"/>
      <c r="N401" s="946"/>
      <c r="O401" s="946"/>
      <c r="P401" s="846"/>
      <c r="R401" s="10"/>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row>
    <row r="402" spans="1:46" ht="13.5" customHeight="1" x14ac:dyDescent="0.3">
      <c r="B402" s="147" t="s">
        <v>908</v>
      </c>
      <c r="C402" s="708"/>
      <c r="D402" s="708"/>
      <c r="E402" s="948">
        <f>UETable!BF72</f>
        <v>0</v>
      </c>
      <c r="F402" s="948"/>
      <c r="G402" s="708"/>
      <c r="H402" s="708"/>
      <c r="I402" s="929">
        <f>IF(C402="",0,IF(OR(C402&lt;=0,G402&lt;=0),E402,IF(G402&lt;C402,0,UETable!BK72)))</f>
        <v>0</v>
      </c>
      <c r="J402" s="929"/>
      <c r="K402" s="946" t="str">
        <f>IF(OR(C402="NA",G402="NA"),"",IF(AND(C402&lt;&gt;"",G402=""),"Enter contralateral or NA.",IF(AND(C402="",G402&lt;&gt;""),"Need data","")))</f>
        <v/>
      </c>
      <c r="L402" s="946"/>
      <c r="M402" s="946"/>
      <c r="N402" s="946"/>
      <c r="O402" s="946"/>
      <c r="P402" s="846"/>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3">
      <c r="B403" s="147" t="s">
        <v>1203</v>
      </c>
      <c r="C403" s="708"/>
      <c r="D403" s="708"/>
      <c r="E403" s="948">
        <f>IF(AND($AJ$407=1,$AK$407=1),"ERROR",UETable!BF73)</f>
        <v>0</v>
      </c>
      <c r="F403" s="948"/>
      <c r="G403" s="946" t="str">
        <f>IF(AND($AK$407=1,$AJ$407=1),"Cannot rate ROM and ankylosis.","")</f>
        <v/>
      </c>
      <c r="H403" s="946"/>
      <c r="I403" s="946"/>
      <c r="J403" s="946"/>
      <c r="K403" s="946"/>
      <c r="L403" s="946"/>
      <c r="M403" s="946"/>
      <c r="N403" s="946"/>
      <c r="O403" s="946"/>
      <c r="P403" s="846"/>
      <c r="R403" s="10"/>
      <c r="S403" s="50">
        <v>70</v>
      </c>
      <c r="T403" s="50" t="str">
        <f t="shared" si="55"/>
        <v/>
      </c>
      <c r="U403" s="10"/>
      <c r="V403" s="10"/>
      <c r="W403" s="10"/>
      <c r="X403" s="10"/>
      <c r="Y403" s="190"/>
      <c r="Z403" s="10"/>
      <c r="AA403" s="10"/>
      <c r="AB403" s="10"/>
      <c r="AC403" s="193">
        <f>MAX(E401,E403,E405,E407)</f>
        <v>0</v>
      </c>
      <c r="AD403" s="806" t="s">
        <v>1942</v>
      </c>
      <c r="AE403" s="806"/>
      <c r="AF403" s="806"/>
      <c r="AG403" s="806"/>
      <c r="AH403" s="10"/>
      <c r="AI403" s="10"/>
      <c r="AJ403" s="776" t="s">
        <v>692</v>
      </c>
      <c r="AK403" s="776" t="s">
        <v>693</v>
      </c>
      <c r="AL403" s="776" t="s">
        <v>895</v>
      </c>
      <c r="AM403" s="776" t="s">
        <v>896</v>
      </c>
      <c r="AN403" s="10"/>
      <c r="AO403" s="10"/>
      <c r="AP403" s="10"/>
      <c r="AQ403" s="10"/>
      <c r="AR403" s="10"/>
      <c r="AS403" s="10"/>
      <c r="AT403" s="10"/>
    </row>
    <row r="404" spans="1:46" ht="13.5" customHeight="1" x14ac:dyDescent="0.3">
      <c r="B404" s="146" t="s">
        <v>909</v>
      </c>
      <c r="C404" s="708"/>
      <c r="D404" s="708"/>
      <c r="E404" s="948">
        <f>UETable!BF74</f>
        <v>0</v>
      </c>
      <c r="F404" s="948"/>
      <c r="G404" s="708"/>
      <c r="H404" s="708"/>
      <c r="I404" s="929">
        <f>IF(C404="",0,IF(OR(C404&lt;=0,G404&lt;=0),E404,IF(G404&lt;C404,0,UETable!BK74)))</f>
        <v>0</v>
      </c>
      <c r="J404" s="929"/>
      <c r="K404" s="946" t="str">
        <f>IF(OR(C404="NA",G404="NA"),"",IF(AND(C404&lt;&gt;"",G404=""),"Enter contralateral or NA.",IF(AND(C404="",G404&lt;&gt;""),"Need data","")))</f>
        <v/>
      </c>
      <c r="L404" s="946"/>
      <c r="M404" s="946"/>
      <c r="N404" s="946"/>
      <c r="O404" s="946"/>
      <c r="P404" s="846"/>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588">
        <f>IF(AND(AJ407=1,AK407=1),"ERROR",SUM(I400,I402,I404,I406,AC403))</f>
        <v>0</v>
      </c>
      <c r="AD404" s="806" t="s">
        <v>907</v>
      </c>
      <c r="AE404" s="806"/>
      <c r="AF404" s="806"/>
      <c r="AG404" s="806"/>
      <c r="AH404" s="39"/>
      <c r="AI404" s="10"/>
      <c r="AJ404" s="776"/>
      <c r="AK404" s="776"/>
      <c r="AL404" s="776"/>
      <c r="AM404" s="776"/>
      <c r="AN404" s="10"/>
      <c r="AO404" s="10"/>
      <c r="AP404" s="10"/>
      <c r="AQ404" s="10"/>
      <c r="AR404" s="10"/>
      <c r="AS404" s="10"/>
      <c r="AT404" s="10"/>
    </row>
    <row r="405" spans="1:46" ht="13.5" customHeight="1" x14ac:dyDescent="0.3">
      <c r="B405" s="146" t="s">
        <v>910</v>
      </c>
      <c r="C405" s="708"/>
      <c r="D405" s="708"/>
      <c r="E405" s="948">
        <f>IF(AND($AJ$407=1,$AK$407=1),"ERROR",UETable!BF75)</f>
        <v>0</v>
      </c>
      <c r="F405" s="948"/>
      <c r="G405" s="946" t="str">
        <f>IF(AND($AK$407=1,$AJ$407=1),"Cannot rate ROM and ankylosis.","")</f>
        <v/>
      </c>
      <c r="H405" s="946"/>
      <c r="I405" s="946"/>
      <c r="J405" s="946"/>
      <c r="K405" s="946"/>
      <c r="L405" s="946"/>
      <c r="M405" s="946"/>
      <c r="N405" s="946"/>
      <c r="O405" s="946"/>
      <c r="P405" s="846"/>
      <c r="R405" s="10"/>
      <c r="S405" s="50">
        <v>20</v>
      </c>
      <c r="T405" s="50" t="str">
        <f t="shared" si="55"/>
        <v/>
      </c>
      <c r="U405" s="10"/>
      <c r="V405" s="10"/>
      <c r="W405" s="10"/>
      <c r="X405" s="10"/>
      <c r="Y405" s="190"/>
      <c r="Z405" s="10"/>
      <c r="AA405" s="10"/>
      <c r="AB405" s="10"/>
      <c r="AC405" s="10"/>
      <c r="AD405" s="10"/>
      <c r="AE405" s="10"/>
      <c r="AF405" s="10"/>
      <c r="AG405" s="10"/>
      <c r="AH405" s="39"/>
      <c r="AI405" s="10"/>
      <c r="AJ405" s="776"/>
      <c r="AK405" s="776"/>
      <c r="AL405" s="776"/>
      <c r="AM405" s="776"/>
      <c r="AN405" s="10"/>
      <c r="AO405" s="10"/>
      <c r="AP405" s="10"/>
      <c r="AQ405" s="10"/>
      <c r="AR405" s="10"/>
      <c r="AS405" s="10"/>
      <c r="AT405" s="10"/>
    </row>
    <row r="406" spans="1:46" ht="13.5" customHeight="1" x14ac:dyDescent="0.3">
      <c r="B406" s="146" t="s">
        <v>911</v>
      </c>
      <c r="C406" s="708"/>
      <c r="D406" s="708"/>
      <c r="E406" s="948">
        <f>UETable!BF76</f>
        <v>0</v>
      </c>
      <c r="F406" s="948"/>
      <c r="G406" s="708"/>
      <c r="H406" s="708"/>
      <c r="I406" s="929">
        <f>IF(C406="",0,IF(OR(C406&lt;=0,G406&lt;=0),E406,IF(G406&lt;C406,0,UETable!BK76)))</f>
        <v>0</v>
      </c>
      <c r="J406" s="929"/>
      <c r="K406" s="946" t="str">
        <f>IF(OR(C406="NA",G406="NA"),"",IF(AND(C406&lt;&gt;"",G406=""),"Enter contralateral or NA.",IF(AND(C406="",G406&lt;&gt;""),"Need data","")))</f>
        <v/>
      </c>
      <c r="L406" s="946"/>
      <c r="M406" s="946"/>
      <c r="N406" s="946"/>
      <c r="O406" s="946"/>
      <c r="P406" s="846"/>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776"/>
      <c r="AK406" s="776"/>
      <c r="AL406" s="776"/>
      <c r="AM406" s="776"/>
      <c r="AN406" s="10"/>
      <c r="AO406" s="10"/>
      <c r="AP406" s="10"/>
      <c r="AQ406" s="10"/>
      <c r="AR406" s="10"/>
      <c r="AS406" s="10"/>
      <c r="AT406" s="10"/>
    </row>
    <row r="407" spans="1:46" ht="13.5" customHeight="1" x14ac:dyDescent="0.3">
      <c r="B407" s="146" t="s">
        <v>912</v>
      </c>
      <c r="C407" s="708"/>
      <c r="D407" s="708"/>
      <c r="E407" s="948">
        <f>IF(AND($AJ$407=1,$AK$407=1),"ERROR",UETable!BF77)</f>
        <v>0</v>
      </c>
      <c r="F407" s="948"/>
      <c r="G407" s="946" t="str">
        <f>IF(AND($AK$407=1,$AJ$407=1),"Cannot rate ROM and ankylosis.","")</f>
        <v/>
      </c>
      <c r="H407" s="946"/>
      <c r="I407" s="946"/>
      <c r="J407" s="946"/>
      <c r="K407" s="946"/>
      <c r="L407" s="946"/>
      <c r="M407" s="946"/>
      <c r="N407" s="946"/>
      <c r="O407" s="946"/>
      <c r="P407" s="847"/>
      <c r="R407" s="10"/>
      <c r="S407" s="50">
        <v>30</v>
      </c>
      <c r="T407" s="50" t="str">
        <f t="shared" si="55"/>
        <v/>
      </c>
      <c r="U407" s="10"/>
      <c r="V407" s="940" t="s">
        <v>2189</v>
      </c>
      <c r="W407" s="941"/>
      <c r="X407" s="941"/>
      <c r="Y407" s="941"/>
      <c r="Z407" s="941"/>
      <c r="AA407" s="941"/>
      <c r="AB407" s="941"/>
      <c r="AC407" s="942"/>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row>
    <row r="408" spans="1:46" ht="13.5" customHeight="1" x14ac:dyDescent="0.3">
      <c r="B408" s="1099" t="s">
        <v>512</v>
      </c>
      <c r="C408" s="1100"/>
      <c r="D408" s="1100"/>
      <c r="E408" s="1100"/>
      <c r="F408" s="1100"/>
      <c r="G408" s="1100"/>
      <c r="H408" s="1100"/>
      <c r="I408" s="1100"/>
      <c r="J408" s="1100"/>
      <c r="K408" s="1100"/>
      <c r="L408" s="1100"/>
      <c r="M408" s="1100"/>
      <c r="N408" s="1100"/>
      <c r="O408" s="1101"/>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3">
      <c r="B409" s="792"/>
      <c r="C409" s="792"/>
      <c r="D409" s="792"/>
      <c r="E409" s="792"/>
      <c r="F409" s="792"/>
      <c r="G409" s="792"/>
      <c r="H409" s="792"/>
      <c r="I409" s="792"/>
      <c r="J409" s="792"/>
      <c r="K409" s="792"/>
      <c r="L409" s="792"/>
      <c r="M409" s="792"/>
      <c r="N409" s="792"/>
      <c r="O409" s="79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3">
      <c r="B410" s="792"/>
      <c r="C410" s="792"/>
      <c r="D410" s="792"/>
      <c r="E410" s="792"/>
      <c r="F410" s="792"/>
      <c r="G410" s="792"/>
      <c r="H410" s="792"/>
      <c r="I410" s="792"/>
      <c r="J410" s="792"/>
      <c r="K410" s="792"/>
      <c r="L410" s="792"/>
      <c r="M410" s="792"/>
      <c r="N410" s="792"/>
      <c r="O410" s="792"/>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3">
      <c r="B411" s="925" t="s">
        <v>1986</v>
      </c>
      <c r="C411" s="925"/>
      <c r="D411" s="925"/>
      <c r="E411" s="925"/>
      <c r="F411" s="925"/>
      <c r="G411" s="925"/>
      <c r="H411" s="925"/>
      <c r="I411" s="925"/>
      <c r="J411" s="925"/>
      <c r="K411" s="925"/>
      <c r="L411" s="925"/>
      <c r="M411" s="925"/>
      <c r="N411" s="925"/>
      <c r="O411" s="925"/>
      <c r="P411" s="1054"/>
      <c r="R411" s="129"/>
      <c r="S411" s="1027" t="s">
        <v>2190</v>
      </c>
      <c r="T411" s="1027"/>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3">
      <c r="A412" s="15"/>
      <c r="B412" s="50" t="s">
        <v>1556</v>
      </c>
      <c r="C412" s="1023"/>
      <c r="D412" s="1023"/>
      <c r="E412" s="1023"/>
      <c r="F412" s="1023"/>
      <c r="G412" s="1023"/>
      <c r="H412" s="1023"/>
      <c r="I412" s="1023"/>
      <c r="J412" s="1023"/>
      <c r="K412" s="1023"/>
      <c r="L412" s="1023"/>
      <c r="M412" s="1023"/>
      <c r="N412" s="1023"/>
      <c r="O412" s="1023"/>
      <c r="P412" s="1055"/>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3">
      <c r="B413" s="50" t="s">
        <v>1557</v>
      </c>
      <c r="C413" s="1023"/>
      <c r="D413" s="1023"/>
      <c r="E413" s="1023"/>
      <c r="F413" s="1023"/>
      <c r="G413" s="1023"/>
      <c r="H413" s="1023"/>
      <c r="I413" s="1023"/>
      <c r="J413" s="1023"/>
      <c r="K413" s="1023"/>
      <c r="L413" s="1023"/>
      <c r="M413" s="1023"/>
      <c r="N413" s="1023"/>
      <c r="O413" s="1023"/>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3">
      <c r="B414" s="925" t="s">
        <v>1558</v>
      </c>
      <c r="C414" s="925"/>
      <c r="D414" s="925"/>
      <c r="E414" s="925"/>
      <c r="F414" s="925"/>
      <c r="G414" s="925"/>
      <c r="H414" s="925"/>
      <c r="I414" s="925"/>
      <c r="J414" s="925"/>
      <c r="K414" s="925"/>
      <c r="L414" s="925"/>
      <c r="M414" s="925"/>
      <c r="N414" s="925"/>
      <c r="O414" s="925"/>
      <c r="P414" s="1054"/>
      <c r="R414" s="129"/>
      <c r="S414" s="1027" t="s">
        <v>2190</v>
      </c>
      <c r="T414" s="1027"/>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3">
      <c r="A415" s="15"/>
      <c r="B415" s="50" t="s">
        <v>1556</v>
      </c>
      <c r="C415" s="1023"/>
      <c r="D415" s="1023"/>
      <c r="E415" s="1023"/>
      <c r="F415" s="1023"/>
      <c r="G415" s="1023"/>
      <c r="H415" s="1023"/>
      <c r="I415" s="1023"/>
      <c r="J415" s="1023"/>
      <c r="K415" s="1023"/>
      <c r="L415" s="1023"/>
      <c r="M415" s="1023"/>
      <c r="N415" s="1023"/>
      <c r="O415" s="1023"/>
      <c r="P415" s="1055"/>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3">
      <c r="B416" s="50" t="s">
        <v>1557</v>
      </c>
      <c r="C416" s="1023"/>
      <c r="D416" s="1023"/>
      <c r="E416" s="1023"/>
      <c r="F416" s="1023"/>
      <c r="G416" s="1023"/>
      <c r="H416" s="1023"/>
      <c r="I416" s="1023"/>
      <c r="J416" s="1023"/>
      <c r="K416" s="1023"/>
      <c r="L416" s="1023"/>
      <c r="M416" s="1023"/>
      <c r="N416" s="1023"/>
      <c r="O416" s="1023"/>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3">
      <c r="B417" s="792"/>
      <c r="C417" s="792"/>
      <c r="D417" s="792"/>
      <c r="E417" s="792"/>
      <c r="F417" s="792"/>
      <c r="G417" s="792"/>
      <c r="H417" s="792"/>
      <c r="I417" s="792"/>
      <c r="J417" s="792"/>
      <c r="K417" s="792"/>
      <c r="L417" s="792"/>
      <c r="M417" s="792"/>
      <c r="N417" s="792"/>
      <c r="O417" s="792"/>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3">
      <c r="B418" s="50" t="s">
        <v>1232</v>
      </c>
      <c r="C418" s="925" t="s">
        <v>1370</v>
      </c>
      <c r="D418" s="925"/>
      <c r="E418" s="925"/>
      <c r="F418" s="925"/>
      <c r="G418" s="925"/>
      <c r="H418" s="925" t="s">
        <v>1795</v>
      </c>
      <c r="I418" s="925"/>
      <c r="J418" s="925"/>
      <c r="K418" s="18"/>
      <c r="L418" s="925" t="s">
        <v>1233</v>
      </c>
      <c r="M418" s="925"/>
      <c r="N418" s="925"/>
      <c r="O418" s="925"/>
      <c r="P418" s="146"/>
      <c r="R418" s="10"/>
      <c r="S418" s="925" t="s">
        <v>2191</v>
      </c>
      <c r="T418" s="925"/>
      <c r="U418" s="878" t="s">
        <v>2196</v>
      </c>
      <c r="V418" s="878"/>
      <c r="W418" s="878"/>
      <c r="X418" s="878"/>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3">
      <c r="B419" s="146" t="s">
        <v>204</v>
      </c>
      <c r="C419" s="933"/>
      <c r="D419" s="933"/>
      <c r="E419" s="933"/>
      <c r="F419" s="933"/>
      <c r="G419" s="933"/>
      <c r="H419" s="936">
        <f>IF(C419=$U$419,0.15,IF(C419=$V$419,0.3,IF(C419=$W$419,0.45,0)))</f>
        <v>0</v>
      </c>
      <c r="I419" s="936"/>
      <c r="J419" s="936"/>
      <c r="K419" s="146"/>
      <c r="L419" s="708"/>
      <c r="M419" s="708"/>
      <c r="N419" s="708"/>
      <c r="O419" s="21">
        <f>IF(H419&gt;=S419,H419-S419,0)</f>
        <v>0</v>
      </c>
      <c r="P419" s="248">
        <f>O419</f>
        <v>0</v>
      </c>
      <c r="R419" s="10"/>
      <c r="S419" s="147">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3">
      <c r="B420" s="146" t="s">
        <v>905</v>
      </c>
      <c r="C420" s="933"/>
      <c r="D420" s="933"/>
      <c r="E420" s="933"/>
      <c r="F420" s="933"/>
      <c r="G420" s="933"/>
      <c r="H420" s="936">
        <f>IF(C420=$U$419,0.15,IF(C420=$V$419,0.3,IF(C420=$W$419,0.45,0)))</f>
        <v>0</v>
      </c>
      <c r="I420" s="936"/>
      <c r="J420" s="936"/>
      <c r="K420" s="146"/>
      <c r="L420" s="708"/>
      <c r="M420" s="708"/>
      <c r="N420" s="708"/>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3">
      <c r="B421" s="792"/>
      <c r="C421" s="792"/>
      <c r="D421" s="792"/>
      <c r="E421" s="792"/>
      <c r="F421" s="792"/>
      <c r="G421" s="792"/>
      <c r="H421" s="792"/>
      <c r="I421" s="792"/>
      <c r="J421" s="792"/>
      <c r="K421" s="792"/>
      <c r="L421" s="792"/>
      <c r="M421" s="792"/>
      <c r="N421" s="792"/>
      <c r="O421" s="79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3">
      <c r="A422" s="15"/>
      <c r="B422" s="771" t="s">
        <v>791</v>
      </c>
      <c r="C422" s="772"/>
      <c r="D422" s="772"/>
      <c r="E422" s="772"/>
      <c r="F422" s="773"/>
      <c r="G422" s="1023"/>
      <c r="H422" s="1023"/>
      <c r="I422" s="806" t="s">
        <v>792</v>
      </c>
      <c r="J422" s="806"/>
      <c r="K422" s="806"/>
      <c r="L422" s="806"/>
      <c r="M422" s="806"/>
      <c r="N422" s="806"/>
      <c r="O422" s="806"/>
      <c r="P422" s="248">
        <f>IF(T422=1,0.1,0)</f>
        <v>0</v>
      </c>
      <c r="R422" s="1143"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3">
      <c r="B423" s="771" t="s">
        <v>791</v>
      </c>
      <c r="C423" s="772"/>
      <c r="D423" s="772"/>
      <c r="E423" s="772"/>
      <c r="F423" s="773"/>
      <c r="G423" s="1023"/>
      <c r="H423" s="1023"/>
      <c r="I423" s="806" t="s">
        <v>793</v>
      </c>
      <c r="J423" s="806"/>
      <c r="K423" s="806"/>
      <c r="L423" s="806"/>
      <c r="M423" s="806"/>
      <c r="N423" s="806"/>
      <c r="O423" s="806"/>
      <c r="P423" s="248">
        <f>IF(T423=1,0.1,0)</f>
        <v>0</v>
      </c>
      <c r="R423" s="1143"/>
      <c r="S423" s="599"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3">
      <c r="B424" s="712"/>
      <c r="C424" s="712"/>
      <c r="D424" s="712"/>
      <c r="E424" s="712"/>
      <c r="F424" s="712"/>
      <c r="G424" s="712"/>
      <c r="H424" s="712"/>
      <c r="I424" s="712"/>
      <c r="J424" s="712"/>
      <c r="K424" s="712"/>
      <c r="L424" s="712"/>
      <c r="M424" s="712"/>
      <c r="N424" s="712"/>
      <c r="O424" s="712"/>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3">
      <c r="B425" s="925" t="s">
        <v>206</v>
      </c>
      <c r="C425" s="925"/>
      <c r="D425" s="925"/>
      <c r="E425" s="925"/>
      <c r="F425" s="925"/>
      <c r="G425" s="925"/>
      <c r="H425" s="925"/>
      <c r="I425" s="925"/>
      <c r="J425" s="925"/>
      <c r="K425" s="925"/>
      <c r="L425" s="925"/>
      <c r="M425" s="925"/>
      <c r="N425" s="925"/>
      <c r="O425" s="940"/>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x14ac:dyDescent="0.3">
      <c r="B426" s="806" t="s">
        <v>207</v>
      </c>
      <c r="C426" s="806"/>
      <c r="D426" s="806"/>
      <c r="E426" s="806"/>
      <c r="F426" s="806"/>
      <c r="G426" s="317"/>
      <c r="H426" s="940" t="s">
        <v>222</v>
      </c>
      <c r="I426" s="941"/>
      <c r="J426" s="941"/>
      <c r="K426" s="941"/>
      <c r="L426" s="941"/>
      <c r="M426" s="941"/>
      <c r="N426" s="941"/>
      <c r="O426" s="942"/>
      <c r="P426" s="21">
        <f>IF(G426=1,0.05,IF(G426=2,0.1,IF(G426=3,0.15,IF(G426=4,0.2,IF(G426=5,0.25,IF(G426&gt;5,0.3,0))))))</f>
        <v>0</v>
      </c>
      <c r="R426" s="10"/>
      <c r="S426" s="50" t="s">
        <v>1727</v>
      </c>
      <c r="T426" s="562">
        <v>1</v>
      </c>
      <c r="U426" s="562">
        <v>2</v>
      </c>
      <c r="V426" s="585">
        <v>3</v>
      </c>
      <c r="W426" s="562">
        <v>4</v>
      </c>
      <c r="X426" s="585">
        <v>5</v>
      </c>
      <c r="Y426" s="562">
        <v>6</v>
      </c>
      <c r="Z426" s="562">
        <v>7</v>
      </c>
      <c r="AA426" s="562">
        <v>8</v>
      </c>
      <c r="AH426" s="10"/>
      <c r="AI426" s="10"/>
      <c r="AR426" s="10"/>
      <c r="AS426" s="10"/>
      <c r="AT426" s="10"/>
    </row>
    <row r="427" spans="1:46" x14ac:dyDescent="0.3">
      <c r="B427" s="806" t="s">
        <v>474</v>
      </c>
      <c r="C427" s="806"/>
      <c r="D427" s="806"/>
      <c r="E427" s="806"/>
      <c r="F427" s="806"/>
      <c r="G427" s="317"/>
      <c r="H427" s="753">
        <f>IF(G427&gt;=1,0.05,0)</f>
        <v>0</v>
      </c>
      <c r="I427" s="754"/>
      <c r="J427" s="755"/>
      <c r="K427" s="753">
        <f>IF(G427&gt;1,0.05,0)</f>
        <v>0</v>
      </c>
      <c r="L427" s="755"/>
      <c r="M427" s="753">
        <f>IF(G427&gt;2,0.05,0)</f>
        <v>0</v>
      </c>
      <c r="N427" s="755"/>
      <c r="O427" s="21">
        <f>IF(G427&gt;3,0.05,0)</f>
        <v>0</v>
      </c>
      <c r="P427" s="1064"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row>
    <row r="428" spans="1:46" x14ac:dyDescent="0.3">
      <c r="B428" s="940"/>
      <c r="C428" s="941"/>
      <c r="D428" s="941"/>
      <c r="E428" s="941"/>
      <c r="F428" s="941"/>
      <c r="G428" s="942"/>
      <c r="H428" s="753">
        <f>IF(G427&gt;4,0.05,0)</f>
        <v>0</v>
      </c>
      <c r="I428" s="754"/>
      <c r="J428" s="755"/>
      <c r="K428" s="753">
        <f>IF(G427&gt;5,0.05,0)</f>
        <v>0</v>
      </c>
      <c r="L428" s="755"/>
      <c r="M428" s="753">
        <f>IF(G427&gt;6,0.05,0)</f>
        <v>0</v>
      </c>
      <c r="N428" s="755"/>
      <c r="O428" s="21">
        <f>IF(G427&gt;7,0.05,0)</f>
        <v>0</v>
      </c>
      <c r="P428" s="1065"/>
      <c r="R428" s="10"/>
      <c r="S428" s="50" t="s">
        <v>2193</v>
      </c>
      <c r="T428" s="562">
        <v>1</v>
      </c>
      <c r="U428" s="562">
        <v>2</v>
      </c>
      <c r="V428" s="585">
        <v>3</v>
      </c>
      <c r="W428" s="562">
        <v>4</v>
      </c>
      <c r="X428" s="585">
        <v>5</v>
      </c>
      <c r="Y428" s="562">
        <v>6</v>
      </c>
      <c r="Z428" s="585">
        <v>7</v>
      </c>
      <c r="AA428" s="562">
        <v>8</v>
      </c>
      <c r="AH428" s="10"/>
      <c r="AI428" s="10"/>
      <c r="AL428" s="10"/>
      <c r="AM428" s="10"/>
      <c r="AN428" s="10"/>
      <c r="AO428" s="10"/>
      <c r="AP428" s="10"/>
      <c r="AQ428" s="10"/>
      <c r="AR428" s="10"/>
      <c r="AS428" s="10"/>
      <c r="AT428" s="10"/>
    </row>
    <row r="429" spans="1:46" x14ac:dyDescent="0.3">
      <c r="B429" s="806" t="s">
        <v>1549</v>
      </c>
      <c r="C429" s="806"/>
      <c r="D429" s="806"/>
      <c r="E429" s="806"/>
      <c r="F429" s="806"/>
      <c r="G429" s="317"/>
      <c r="H429" s="753">
        <f>IF(G429&gt;=1,0.05,0)</f>
        <v>0</v>
      </c>
      <c r="I429" s="754"/>
      <c r="J429" s="755"/>
      <c r="K429" s="753">
        <f>IF(G429&gt;1,0.05,0)</f>
        <v>0</v>
      </c>
      <c r="L429" s="755"/>
      <c r="M429" s="753">
        <f>IF(G429&gt;2,0.05,0)</f>
        <v>0</v>
      </c>
      <c r="N429" s="755"/>
      <c r="O429" s="21">
        <f>IF(G429&gt;3,0.05,0)</f>
        <v>0</v>
      </c>
      <c r="P429" s="1065"/>
      <c r="R429" s="10"/>
      <c r="S429" s="10"/>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x14ac:dyDescent="0.3">
      <c r="B430" s="940"/>
      <c r="C430" s="941"/>
      <c r="D430" s="941"/>
      <c r="E430" s="941"/>
      <c r="F430" s="941"/>
      <c r="G430" s="942"/>
      <c r="H430" s="753">
        <f>IF(G429&gt;4,0.05,0)</f>
        <v>0</v>
      </c>
      <c r="I430" s="754"/>
      <c r="J430" s="755"/>
      <c r="K430" s="753">
        <f>IF(G429&gt;5,0.05,0)</f>
        <v>0</v>
      </c>
      <c r="L430" s="755"/>
      <c r="M430" s="753">
        <f>IF(G429&gt;6,0.05,0)</f>
        <v>0</v>
      </c>
      <c r="N430" s="755"/>
      <c r="O430" s="21">
        <f>IF(G429&gt;7,0.05,0)</f>
        <v>0</v>
      </c>
      <c r="P430" s="1066"/>
      <c r="R430" s="10"/>
      <c r="S430" s="10"/>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x14ac:dyDescent="0.3">
      <c r="B431" s="806" t="s">
        <v>1534</v>
      </c>
      <c r="C431" s="806"/>
      <c r="D431" s="806"/>
      <c r="E431" s="806"/>
      <c r="F431" s="806"/>
      <c r="G431" s="708"/>
      <c r="H431" s="708"/>
      <c r="I431" s="708"/>
      <c r="J431" s="708"/>
      <c r="K431" s="708"/>
      <c r="L431" s="708"/>
      <c r="M431" s="708"/>
      <c r="N431" s="708"/>
      <c r="O431" s="308"/>
      <c r="P431" s="21">
        <f>IF(G431="Resection with replacement",0.05,IF(G431="Resection without replacement",0.1,0))</f>
        <v>0</v>
      </c>
      <c r="R431" s="955" t="s">
        <v>2196</v>
      </c>
      <c r="S431" s="50" t="s">
        <v>1550</v>
      </c>
      <c r="T431" s="50" t="s">
        <v>1533</v>
      </c>
      <c r="U431" s="10"/>
      <c r="V431" s="10"/>
      <c r="W431" s="10"/>
      <c r="X431" s="10"/>
      <c r="Y431" s="10"/>
      <c r="Z431" s="14"/>
      <c r="AA431" s="14"/>
      <c r="AB431" s="14"/>
      <c r="AC431" s="14"/>
      <c r="AD431" s="14"/>
      <c r="AE431" s="14"/>
      <c r="AF431" s="14"/>
      <c r="AG431" s="14"/>
      <c r="AH431" s="10"/>
      <c r="AI431" s="10"/>
      <c r="AJ431" s="14"/>
      <c r="AK431" s="14"/>
      <c r="AL431" s="10"/>
      <c r="AM431" s="10"/>
      <c r="AN431" s="10"/>
      <c r="AO431" s="10"/>
      <c r="AP431" s="10"/>
      <c r="AQ431" s="10"/>
      <c r="AR431" s="10"/>
      <c r="AS431" s="10"/>
      <c r="AT431" s="10"/>
    </row>
    <row r="432" spans="1:46" x14ac:dyDescent="0.3">
      <c r="B432" s="757" t="s">
        <v>1140</v>
      </c>
      <c r="C432" s="758"/>
      <c r="D432" s="758"/>
      <c r="E432" s="758"/>
      <c r="F432" s="759"/>
      <c r="G432" s="745"/>
      <c r="H432" s="892"/>
      <c r="I432" s="892"/>
      <c r="J432" s="892"/>
      <c r="K432" s="892"/>
      <c r="L432" s="892"/>
      <c r="M432" s="892"/>
      <c r="N432" s="835"/>
      <c r="O432" s="146"/>
      <c r="P432" s="21">
        <f>IF(G432="Yes",0.06,0)</f>
        <v>0</v>
      </c>
      <c r="R432" s="955"/>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46" ht="12" customHeight="1" x14ac:dyDescent="0.3">
      <c r="B433" s="792"/>
      <c r="C433" s="792"/>
      <c r="D433" s="792"/>
      <c r="E433" s="792"/>
      <c r="F433" s="792"/>
      <c r="G433" s="792"/>
      <c r="H433" s="792"/>
      <c r="I433" s="792"/>
      <c r="J433" s="792"/>
      <c r="K433" s="792"/>
      <c r="L433" s="792"/>
      <c r="M433" s="792"/>
      <c r="N433" s="792"/>
      <c r="O433" s="792"/>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row>
    <row r="434" spans="1:46" ht="15" customHeight="1" x14ac:dyDescent="0.3">
      <c r="B434" s="449" t="s">
        <v>812</v>
      </c>
      <c r="C434" s="356"/>
      <c r="D434" s="356"/>
      <c r="E434" s="356"/>
      <c r="F434" s="357"/>
      <c r="G434" s="776" t="s">
        <v>1535</v>
      </c>
      <c r="H434" s="776"/>
      <c r="I434" s="776"/>
      <c r="J434" s="776"/>
      <c r="K434" s="776"/>
      <c r="L434" s="745"/>
      <c r="M434" s="892"/>
      <c r="N434" s="835"/>
      <c r="O434" s="21">
        <f>SUMIF(T434:X434,L434,T435:X435)</f>
        <v>0</v>
      </c>
      <c r="P434" s="1062"/>
      <c r="R434" s="956" t="s">
        <v>2194</v>
      </c>
      <c r="S434" s="956"/>
      <c r="T434" s="50" t="s">
        <v>1968</v>
      </c>
      <c r="U434" s="50" t="s">
        <v>1969</v>
      </c>
      <c r="V434" s="147" t="s">
        <v>1971</v>
      </c>
      <c r="W434" s="50" t="s">
        <v>945</v>
      </c>
      <c r="X434" s="147" t="s">
        <v>558</v>
      </c>
      <c r="AC434" s="10"/>
      <c r="AD434" s="10"/>
      <c r="AE434" s="10"/>
      <c r="AF434" s="10"/>
      <c r="AG434" s="10"/>
      <c r="AH434" s="10"/>
      <c r="AI434" s="10"/>
      <c r="AJ434" s="10"/>
      <c r="AK434" s="10"/>
      <c r="AL434" s="10"/>
      <c r="AM434" s="10"/>
      <c r="AN434" s="10"/>
      <c r="AO434" s="10"/>
      <c r="AP434" s="10"/>
      <c r="AQ434" s="10"/>
      <c r="AR434" s="10"/>
      <c r="AS434" s="10"/>
      <c r="AT434" s="10"/>
    </row>
    <row r="435" spans="1:46" ht="18" customHeight="1" x14ac:dyDescent="0.3">
      <c r="B435" s="450"/>
      <c r="C435" s="451"/>
      <c r="D435" s="451"/>
      <c r="E435" s="451"/>
      <c r="F435" s="456"/>
      <c r="G435" s="776" t="s">
        <v>1536</v>
      </c>
      <c r="H435" s="776"/>
      <c r="I435" s="776"/>
      <c r="J435" s="776"/>
      <c r="K435" s="776"/>
      <c r="L435" s="745"/>
      <c r="M435" s="892"/>
      <c r="N435" s="835"/>
      <c r="O435" s="21">
        <f>SUMIF(T434:X434,L435,T435:X435)</f>
        <v>0</v>
      </c>
      <c r="P435" s="1063"/>
      <c r="R435" s="956"/>
      <c r="S435" s="956"/>
      <c r="T435" s="147">
        <v>0.03</v>
      </c>
      <c r="U435" s="147">
        <v>0.15</v>
      </c>
      <c r="V435" s="147">
        <v>0.38</v>
      </c>
      <c r="W435" s="147">
        <v>0.68</v>
      </c>
      <c r="X435" s="147">
        <v>0.9</v>
      </c>
      <c r="AC435" s="10"/>
      <c r="AD435" s="10"/>
      <c r="AE435" s="10"/>
      <c r="AF435" s="10"/>
      <c r="AG435" s="10"/>
      <c r="AH435" s="10"/>
      <c r="AI435" s="10"/>
      <c r="AJ435" s="10"/>
      <c r="AK435" s="10"/>
      <c r="AL435" s="10"/>
      <c r="AM435" s="10"/>
      <c r="AN435" s="10"/>
      <c r="AO435" s="10"/>
      <c r="AP435" s="10"/>
      <c r="AQ435" s="10"/>
      <c r="AR435" s="10"/>
      <c r="AS435" s="10"/>
      <c r="AT435" s="10"/>
    </row>
    <row r="436" spans="1:46" ht="18" customHeight="1" x14ac:dyDescent="0.3">
      <c r="B436" s="776" t="s">
        <v>1653</v>
      </c>
      <c r="C436" s="776"/>
      <c r="D436" s="776"/>
      <c r="E436" s="776"/>
      <c r="F436" s="776"/>
      <c r="G436" s="776"/>
      <c r="H436" s="776"/>
      <c r="I436" s="776"/>
      <c r="J436" s="776"/>
      <c r="K436" s="776"/>
      <c r="L436" s="776"/>
      <c r="M436" s="776"/>
      <c r="N436" s="776"/>
      <c r="O436" s="776"/>
      <c r="P436" s="248">
        <f>MAX(O434,O435)</f>
        <v>0</v>
      </c>
      <c r="R436" s="956"/>
      <c r="S436" s="956"/>
      <c r="T436" s="10"/>
      <c r="U436" s="10"/>
      <c r="V436" s="10"/>
      <c r="W436" s="10"/>
      <c r="X436" s="190"/>
      <c r="AC436" s="10"/>
      <c r="AD436" s="10"/>
      <c r="AE436" s="10"/>
      <c r="AF436" s="10"/>
      <c r="AG436" s="10"/>
      <c r="AH436" s="10"/>
      <c r="AI436" s="10"/>
      <c r="AJ436" s="10"/>
      <c r="AK436" s="10"/>
      <c r="AL436" s="10"/>
      <c r="AM436" s="10"/>
      <c r="AN436" s="10"/>
      <c r="AO436" s="10"/>
      <c r="AP436" s="10"/>
      <c r="AQ436" s="10"/>
      <c r="AR436" s="10"/>
      <c r="AS436" s="10"/>
      <c r="AT436" s="10"/>
    </row>
    <row r="437" spans="1:46" ht="10.5" customHeight="1" x14ac:dyDescent="0.3">
      <c r="B437" s="792"/>
      <c r="C437" s="792"/>
      <c r="D437" s="792"/>
      <c r="E437" s="792"/>
      <c r="F437" s="792"/>
      <c r="G437" s="792"/>
      <c r="H437" s="792"/>
      <c r="I437" s="792"/>
      <c r="J437" s="792"/>
      <c r="K437" s="792"/>
      <c r="L437" s="792"/>
      <c r="M437" s="792"/>
      <c r="N437" s="792"/>
      <c r="O437" s="792"/>
      <c r="P437" s="1"/>
      <c r="R437" s="956"/>
      <c r="S437" s="956"/>
      <c r="T437" s="10"/>
      <c r="U437" s="10"/>
      <c r="V437" s="10"/>
      <c r="W437" s="10"/>
      <c r="X437" s="19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46" ht="15" customHeight="1" x14ac:dyDescent="0.3">
      <c r="B438" s="1103" t="s">
        <v>1254</v>
      </c>
      <c r="C438" s="1104"/>
      <c r="D438" s="1104"/>
      <c r="E438" s="1104"/>
      <c r="F438" s="1105"/>
      <c r="G438" s="776" t="s">
        <v>1655</v>
      </c>
      <c r="H438" s="776"/>
      <c r="I438" s="776"/>
      <c r="J438" s="776"/>
      <c r="K438" s="776"/>
      <c r="L438" s="745"/>
      <c r="M438" s="892"/>
      <c r="N438" s="835"/>
      <c r="O438" s="21">
        <f>SUMIF(T438:X438,L438,T439:X439)</f>
        <v>0</v>
      </c>
      <c r="P438" s="1062"/>
      <c r="R438" s="956"/>
      <c r="S438" s="956"/>
      <c r="T438" s="50" t="s">
        <v>1968</v>
      </c>
      <c r="U438" s="50" t="s">
        <v>1969</v>
      </c>
      <c r="V438" s="147" t="s">
        <v>1971</v>
      </c>
      <c r="W438" s="50" t="s">
        <v>945</v>
      </c>
      <c r="X438" s="147" t="s">
        <v>558</v>
      </c>
      <c r="AC438" s="10"/>
      <c r="AD438" s="10"/>
      <c r="AE438" s="10"/>
      <c r="AF438" s="10"/>
      <c r="AG438" s="10"/>
      <c r="AH438" s="10"/>
      <c r="AI438" s="10"/>
      <c r="AJ438" s="10"/>
      <c r="AK438" s="10"/>
      <c r="AL438" s="10"/>
      <c r="AM438" s="10"/>
      <c r="AN438" s="10"/>
      <c r="AO438" s="10"/>
      <c r="AP438" s="10"/>
      <c r="AQ438" s="10"/>
      <c r="AR438" s="10"/>
      <c r="AS438" s="10"/>
      <c r="AT438" s="10"/>
    </row>
    <row r="439" spans="1:46" ht="15" customHeight="1" x14ac:dyDescent="0.3">
      <c r="B439" s="1106"/>
      <c r="C439" s="1107"/>
      <c r="D439" s="1107"/>
      <c r="E439" s="1107"/>
      <c r="F439" s="1108"/>
      <c r="G439" s="776" t="s">
        <v>1656</v>
      </c>
      <c r="H439" s="776"/>
      <c r="I439" s="776"/>
      <c r="J439" s="776"/>
      <c r="K439" s="776"/>
      <c r="L439" s="745"/>
      <c r="M439" s="892"/>
      <c r="N439" s="835"/>
      <c r="O439" s="21">
        <f>SUMIF(T438:X438,L439,T439:X439)</f>
        <v>0</v>
      </c>
      <c r="P439" s="1063"/>
      <c r="R439" s="956"/>
      <c r="S439" s="956"/>
      <c r="T439" s="147">
        <v>0.03</v>
      </c>
      <c r="U439" s="147">
        <v>0.15</v>
      </c>
      <c r="V439" s="147">
        <v>0.35</v>
      </c>
      <c r="W439" s="147">
        <v>0.63</v>
      </c>
      <c r="X439" s="147">
        <v>0.88</v>
      </c>
      <c r="AC439" s="10"/>
      <c r="AD439" s="10"/>
      <c r="AE439" s="10"/>
      <c r="AF439" s="10"/>
      <c r="AG439" s="10"/>
      <c r="AH439" s="10"/>
      <c r="AI439" s="10"/>
      <c r="AJ439" s="10"/>
      <c r="AK439" s="10"/>
      <c r="AL439" s="10"/>
      <c r="AM439" s="10"/>
      <c r="AN439" s="10"/>
      <c r="AO439" s="10"/>
      <c r="AP439" s="10"/>
      <c r="AQ439" s="10"/>
      <c r="AR439" s="10"/>
      <c r="AS439" s="10"/>
      <c r="AT439" s="10"/>
    </row>
    <row r="440" spans="1:46" ht="18" customHeight="1" x14ac:dyDescent="0.3">
      <c r="B440" s="771" t="s">
        <v>1653</v>
      </c>
      <c r="C440" s="772"/>
      <c r="D440" s="772"/>
      <c r="E440" s="772"/>
      <c r="F440" s="772"/>
      <c r="G440" s="772"/>
      <c r="H440" s="772"/>
      <c r="I440" s="772"/>
      <c r="J440" s="772"/>
      <c r="K440" s="772"/>
      <c r="L440" s="772"/>
      <c r="M440" s="772"/>
      <c r="N440" s="772"/>
      <c r="O440" s="773"/>
      <c r="P440" s="248">
        <f>MAX(O438,O439)</f>
        <v>0</v>
      </c>
      <c r="R440" s="10"/>
      <c r="S440" s="10"/>
      <c r="T440" s="10"/>
      <c r="U440" s="10"/>
      <c r="V440" s="10"/>
      <c r="W440" s="10"/>
      <c r="X440" s="10"/>
      <c r="AC440" s="10"/>
      <c r="AD440" s="10"/>
      <c r="AE440" s="10"/>
      <c r="AF440" s="10"/>
      <c r="AG440" s="10"/>
      <c r="AH440" s="10"/>
      <c r="AI440" s="10"/>
      <c r="AJ440" s="10"/>
      <c r="AK440" s="10"/>
      <c r="AL440" s="10"/>
      <c r="AM440" s="10"/>
      <c r="AN440" s="10"/>
      <c r="AO440" s="10"/>
      <c r="AP440" s="10"/>
      <c r="AQ440" s="10"/>
      <c r="AR440" s="10"/>
      <c r="AS440" s="10"/>
      <c r="AT440" s="10"/>
    </row>
    <row r="441" spans="1:46" ht="12" customHeight="1" x14ac:dyDescent="0.3">
      <c r="B441" s="712"/>
      <c r="C441" s="712"/>
      <c r="D441" s="712"/>
      <c r="E441" s="712"/>
      <c r="F441" s="712"/>
      <c r="G441" s="712"/>
      <c r="H441" s="712"/>
      <c r="I441" s="712"/>
      <c r="J441" s="712"/>
      <c r="K441" s="712"/>
      <c r="L441" s="712"/>
      <c r="M441" s="712"/>
      <c r="N441" s="712"/>
      <c r="O441" s="712"/>
      <c r="P441" s="8"/>
      <c r="R441" s="10"/>
      <c r="S441" s="10"/>
      <c r="T441" s="10"/>
      <c r="U441" s="10"/>
      <c r="V441" s="10"/>
      <c r="W441" s="10"/>
      <c r="X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1:46" ht="18" customHeight="1" x14ac:dyDescent="0.3">
      <c r="B442" s="927" t="s">
        <v>1505</v>
      </c>
      <c r="C442" s="927"/>
      <c r="D442" s="927"/>
      <c r="E442" s="927"/>
      <c r="F442" s="927"/>
      <c r="G442" s="927"/>
      <c r="H442" s="927"/>
      <c r="I442" s="927"/>
      <c r="J442" s="927"/>
      <c r="K442" s="927"/>
      <c r="L442" s="927"/>
      <c r="M442" s="927"/>
      <c r="N442" s="927"/>
      <c r="O442" s="927"/>
      <c r="P442" s="927"/>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row>
    <row r="443" spans="1:46" ht="114" customHeight="1" x14ac:dyDescent="0.3">
      <c r="B443" s="776" t="s">
        <v>1775</v>
      </c>
      <c r="C443" s="776"/>
      <c r="D443" s="776"/>
      <c r="E443" s="776"/>
      <c r="F443" s="776"/>
      <c r="G443" s="776"/>
      <c r="H443" s="776"/>
      <c r="I443" s="776"/>
      <c r="J443" s="776"/>
      <c r="K443" s="776"/>
      <c r="L443" s="776"/>
      <c r="M443" s="776"/>
      <c r="N443" s="776"/>
      <c r="O443" s="776"/>
      <c r="P443" s="77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row>
    <row r="444" spans="1:46" ht="15" customHeight="1" x14ac:dyDescent="0.3">
      <c r="B444" s="925"/>
      <c r="C444" s="925"/>
      <c r="D444" s="925"/>
      <c r="E444" s="925"/>
      <c r="F444" s="925"/>
      <c r="G444" s="925"/>
      <c r="H444" s="925"/>
      <c r="I444" s="925"/>
      <c r="J444" s="925"/>
      <c r="K444" s="925"/>
      <c r="L444" s="927" t="s">
        <v>1685</v>
      </c>
      <c r="M444" s="1017" t="s">
        <v>1686</v>
      </c>
      <c r="N444" s="1017"/>
      <c r="O444" s="1017"/>
      <c r="P444" s="1017"/>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147">
        <v>0.85</v>
      </c>
      <c r="AF444" s="147">
        <v>0.9</v>
      </c>
      <c r="AG444" s="147">
        <v>0.95</v>
      </c>
      <c r="AH444" s="147">
        <v>1</v>
      </c>
      <c r="AI444" s="10"/>
      <c r="AJ444" s="10"/>
      <c r="AK444" s="10"/>
      <c r="AL444" s="10"/>
      <c r="AM444" s="10"/>
      <c r="AN444" s="10"/>
      <c r="AO444" s="10"/>
      <c r="AP444" s="10"/>
      <c r="AQ444" s="10"/>
      <c r="AR444" s="10"/>
      <c r="AS444" s="10"/>
      <c r="AT444" s="10"/>
    </row>
    <row r="445" spans="1:46" ht="15" customHeight="1" x14ac:dyDescent="0.3">
      <c r="B445" s="259" t="s">
        <v>1687</v>
      </c>
      <c r="C445" s="927" t="s">
        <v>1506</v>
      </c>
      <c r="D445" s="927"/>
      <c r="E445" s="927"/>
      <c r="F445" s="927"/>
      <c r="G445" s="927"/>
      <c r="H445" s="927"/>
      <c r="I445" s="927"/>
      <c r="J445" s="927"/>
      <c r="K445" s="927"/>
      <c r="L445" s="927"/>
      <c r="M445" s="927" t="s">
        <v>1688</v>
      </c>
      <c r="N445" s="927"/>
      <c r="O445" s="19" t="s">
        <v>1689</v>
      </c>
      <c r="P445" s="19" t="s">
        <v>1690</v>
      </c>
      <c r="R445" s="1141" t="s">
        <v>2198</v>
      </c>
      <c r="S445" s="1141"/>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row>
    <row r="446" spans="1:46" ht="15" customHeight="1" x14ac:dyDescent="0.3">
      <c r="A446" s="15"/>
      <c r="B446" s="927"/>
      <c r="C446" s="927"/>
      <c r="D446" s="927"/>
      <c r="E446" s="371"/>
      <c r="F446" s="927" t="s">
        <v>1509</v>
      </c>
      <c r="G446" s="927"/>
      <c r="H446" s="927"/>
      <c r="I446" s="927"/>
      <c r="J446" s="927"/>
      <c r="K446" s="927"/>
      <c r="L446" s="82">
        <f>IF(S446=0,0,0.3)</f>
        <v>0</v>
      </c>
      <c r="M446" s="1028"/>
      <c r="N446" s="1028"/>
      <c r="O446" s="86"/>
      <c r="P446" s="294">
        <f>IF(OR(L446=0,M446=""),0,X446)</f>
        <v>0</v>
      </c>
      <c r="R446" s="586" t="b">
        <v>0</v>
      </c>
      <c r="S446" s="578">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row>
    <row r="447" spans="1:46" ht="15" customHeight="1" x14ac:dyDescent="0.3">
      <c r="B447" s="927"/>
      <c r="C447" s="927"/>
      <c r="D447" s="927"/>
      <c r="E447" s="371"/>
      <c r="F447" s="927" t="s">
        <v>1510</v>
      </c>
      <c r="G447" s="927"/>
      <c r="H447" s="927"/>
      <c r="I447" s="927"/>
      <c r="J447" s="927"/>
      <c r="K447" s="927"/>
      <c r="L447" s="82">
        <f>IF(S447=0,0,0.35)</f>
        <v>0</v>
      </c>
      <c r="M447" s="1028"/>
      <c r="N447" s="1028"/>
      <c r="O447" s="86"/>
      <c r="P447" s="294">
        <f>IF(OR(L447=0,M447=""),0,X447)</f>
        <v>0</v>
      </c>
      <c r="R447" s="586" t="b">
        <v>0</v>
      </c>
      <c r="S447" s="578">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row>
    <row r="448" spans="1:46" ht="15" customHeight="1" x14ac:dyDescent="0.3">
      <c r="B448" s="927"/>
      <c r="C448" s="927"/>
      <c r="D448" s="927"/>
      <c r="E448" s="371"/>
      <c r="F448" s="927" t="s">
        <v>1511</v>
      </c>
      <c r="G448" s="927"/>
      <c r="H448" s="927"/>
      <c r="I448" s="927"/>
      <c r="J448" s="927"/>
      <c r="K448" s="927"/>
      <c r="L448" s="82">
        <f>IF(S448=0,0,0.35)</f>
        <v>0</v>
      </c>
      <c r="M448" s="1028"/>
      <c r="N448" s="1028"/>
      <c r="O448" s="86"/>
      <c r="P448" s="294">
        <f>IF(OR(L448=0,M448=""),0,X448)</f>
        <v>0</v>
      </c>
      <c r="R448" s="586" t="b">
        <v>0</v>
      </c>
      <c r="S448" s="578">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row>
    <row r="449" spans="2:109" ht="15" customHeight="1" x14ac:dyDescent="0.3">
      <c r="B449" s="927"/>
      <c r="C449" s="927"/>
      <c r="D449" s="927"/>
      <c r="E449" s="371"/>
      <c r="F449" s="927" t="s">
        <v>1208</v>
      </c>
      <c r="G449" s="927"/>
      <c r="H449" s="927"/>
      <c r="I449" s="927"/>
      <c r="J449" s="927"/>
      <c r="K449" s="927"/>
      <c r="L449" s="82">
        <f>IF(S449=0,0,0.45)</f>
        <v>0</v>
      </c>
      <c r="M449" s="1028"/>
      <c r="N449" s="1028"/>
      <c r="O449" s="86"/>
      <c r="P449" s="294">
        <f>IF(OR(L449=0,M449=""),0,X449)</f>
        <v>0</v>
      </c>
      <c r="R449" s="586" t="b">
        <v>0</v>
      </c>
      <c r="S449" s="578">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row>
    <row r="450" spans="2:109" ht="15" customHeight="1" x14ac:dyDescent="0.3">
      <c r="B450" s="927"/>
      <c r="C450" s="927"/>
      <c r="D450" s="927"/>
      <c r="E450" s="371"/>
      <c r="F450" s="927" t="s">
        <v>1209</v>
      </c>
      <c r="G450" s="927"/>
      <c r="H450" s="927"/>
      <c r="I450" s="927"/>
      <c r="J450" s="927"/>
      <c r="K450" s="927"/>
      <c r="L450" s="82">
        <f>IF(S450=0,0,0.2)</f>
        <v>0</v>
      </c>
      <c r="M450" s="1028"/>
      <c r="N450" s="1028"/>
      <c r="O450" s="86"/>
      <c r="P450" s="294">
        <f>IF(OR(L450=0,M450=""),0,X450)</f>
        <v>0</v>
      </c>
      <c r="R450" s="586" t="b">
        <v>0</v>
      </c>
      <c r="S450" s="578">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row>
    <row r="451" spans="2:109" ht="6" customHeight="1" x14ac:dyDescent="0.3">
      <c r="B451" s="712"/>
      <c r="C451" s="712"/>
      <c r="D451" s="712"/>
      <c r="E451" s="712"/>
      <c r="F451" s="712"/>
      <c r="G451" s="712"/>
      <c r="H451" s="712"/>
      <c r="I451" s="712"/>
      <c r="J451" s="712"/>
      <c r="K451" s="712"/>
      <c r="L451" s="712"/>
      <c r="M451" s="712"/>
      <c r="N451" s="712"/>
      <c r="O451" s="712"/>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row>
    <row r="452" spans="2:109" ht="6" customHeight="1" x14ac:dyDescent="0.3">
      <c r="B452" s="990"/>
      <c r="C452" s="990"/>
      <c r="D452" s="990"/>
      <c r="E452" s="990"/>
      <c r="F452" s="990"/>
      <c r="G452" s="990"/>
      <c r="H452" s="990"/>
      <c r="I452" s="990"/>
      <c r="J452" s="990"/>
      <c r="K452" s="990"/>
      <c r="L452" s="990"/>
      <c r="M452" s="990"/>
      <c r="N452" s="990"/>
      <c r="O452" s="990"/>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row>
    <row r="453" spans="2:109" ht="15" customHeight="1" x14ac:dyDescent="0.3">
      <c r="B453" s="764" t="s">
        <v>1701</v>
      </c>
      <c r="C453" s="765"/>
      <c r="D453" s="765"/>
      <c r="E453" s="772"/>
      <c r="F453" s="772"/>
      <c r="G453" s="772"/>
      <c r="H453" s="772"/>
      <c r="I453" s="772"/>
      <c r="J453" s="772"/>
      <c r="K453" s="772"/>
      <c r="L453" s="772"/>
      <c r="M453" s="772"/>
      <c r="N453" s="772"/>
      <c r="O453" s="772"/>
      <c r="P453" s="773"/>
      <c r="R453" s="129"/>
      <c r="S453" s="98"/>
      <c r="T453" s="593" t="s">
        <v>1688</v>
      </c>
      <c r="U453" s="593" t="s">
        <v>1596</v>
      </c>
      <c r="V453" s="593" t="s">
        <v>1691</v>
      </c>
      <c r="W453" s="593" t="s">
        <v>1692</v>
      </c>
      <c r="X453" s="593"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row>
    <row r="454" spans="2:109" ht="27" customHeight="1" x14ac:dyDescent="0.3">
      <c r="B454" s="453" t="s">
        <v>1210</v>
      </c>
      <c r="C454" s="469"/>
      <c r="D454" s="454"/>
      <c r="E454" s="266"/>
      <c r="F454" s="1058" t="s">
        <v>1551</v>
      </c>
      <c r="G454" s="1059"/>
      <c r="H454" s="1059"/>
      <c r="I454" s="1059"/>
      <c r="J454" s="1059"/>
      <c r="K454" s="1060"/>
      <c r="L454" s="82">
        <f>IF(OR(F454="",S454=0),0,IF(AND(S454=1,F454&lt;&gt;""),0.25))</f>
        <v>0</v>
      </c>
      <c r="M454" s="1028"/>
      <c r="N454" s="1028"/>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row>
    <row r="455" spans="2:109" ht="15" customHeight="1" x14ac:dyDescent="0.3">
      <c r="B455" s="467"/>
      <c r="C455" s="39"/>
      <c r="D455" s="470"/>
      <c r="E455" s="468"/>
      <c r="F455" s="757" t="str">
        <f>IF(S454=1,"","Biceps brachii")</f>
        <v>Biceps brachii</v>
      </c>
      <c r="G455" s="758"/>
      <c r="H455" s="758"/>
      <c r="I455" s="758"/>
      <c r="J455" s="758"/>
      <c r="K455" s="759"/>
      <c r="L455" s="82">
        <f>IF(OR(F455="",S455=0),0,IF(AND(S455=1,F455&lt;&gt;""),0.25))</f>
        <v>0</v>
      </c>
      <c r="M455" s="1028"/>
      <c r="N455" s="1028"/>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row>
    <row r="456" spans="2:109" ht="15" customHeight="1" x14ac:dyDescent="0.3">
      <c r="B456" s="467"/>
      <c r="C456" s="39"/>
      <c r="D456" s="470"/>
      <c r="E456" s="468"/>
      <c r="F456" s="757" t="str">
        <f>IF(S454=1,"","Coracobrachialis")</f>
        <v>Coracobrachialis</v>
      </c>
      <c r="G456" s="758"/>
      <c r="H456" s="758"/>
      <c r="I456" s="758"/>
      <c r="J456" s="758"/>
      <c r="K456" s="759"/>
      <c r="L456" s="82">
        <f>IF(OR(F456="",S456=0),0,IF(AND(S456=1,F456&lt;&gt;""),0.25))</f>
        <v>0</v>
      </c>
      <c r="M456" s="1028"/>
      <c r="N456" s="1028"/>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row>
    <row r="457" spans="2:109" ht="15" customHeight="1" x14ac:dyDescent="0.3">
      <c r="B457" s="285"/>
      <c r="C457" s="183"/>
      <c r="D457" s="455"/>
      <c r="E457" s="468"/>
      <c r="F457" s="757" t="str">
        <f>IF(S454=1,"","Brachialis")</f>
        <v>Brachialis</v>
      </c>
      <c r="G457" s="758"/>
      <c r="H457" s="758"/>
      <c r="I457" s="758"/>
      <c r="J457" s="758"/>
      <c r="K457" s="759"/>
      <c r="L457" s="82">
        <f>IF(OR(F457="",S457=0),0,IF(AND(S457=1,F457&lt;&gt;""),0.25))</f>
        <v>0</v>
      </c>
      <c r="M457" s="1028"/>
      <c r="N457" s="1028"/>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row>
    <row r="458" spans="2:109" ht="18" customHeight="1" x14ac:dyDescent="0.3">
      <c r="B458" s="1061" t="s">
        <v>1553</v>
      </c>
      <c r="C458" s="1061"/>
      <c r="D458" s="1061"/>
      <c r="E458" s="959"/>
      <c r="F458" s="959"/>
      <c r="G458" s="959"/>
      <c r="H458" s="959"/>
      <c r="I458" s="959"/>
      <c r="J458" s="959"/>
      <c r="K458" s="959"/>
      <c r="L458" s="959"/>
      <c r="M458" s="959"/>
      <c r="N458" s="959"/>
      <c r="O458" s="959"/>
      <c r="P458" s="191">
        <f>IF(AND(P454="",P455="",P456="",P457=""),0,AVERAGE(P454:P457))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row>
    <row r="459" spans="2:109" ht="12" customHeight="1" x14ac:dyDescent="0.3">
      <c r="C459" s="2"/>
      <c r="D459" s="2"/>
      <c r="F459" s="2"/>
      <c r="H459" s="2"/>
      <c r="J459" s="2"/>
      <c r="L459" s="2"/>
      <c r="N459" s="2"/>
      <c r="R459" s="10"/>
      <c r="S459" s="98"/>
      <c r="T459" s="593" t="s">
        <v>1688</v>
      </c>
      <c r="U459" s="593" t="s">
        <v>1596</v>
      </c>
      <c r="V459" s="593" t="s">
        <v>1691</v>
      </c>
      <c r="W459" s="593" t="s">
        <v>1692</v>
      </c>
      <c r="X459" s="593"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3">
      <c r="B460" s="457" t="s">
        <v>1819</v>
      </c>
      <c r="C460" s="458"/>
      <c r="D460" s="459"/>
      <c r="E460" s="468"/>
      <c r="F460" s="1058" t="str">
        <f>IF(Z460=1,"","Overall loss at level shown")</f>
        <v>Overall loss at level shown</v>
      </c>
      <c r="G460" s="1059"/>
      <c r="H460" s="1059"/>
      <c r="I460" s="1059"/>
      <c r="J460" s="1059"/>
      <c r="K460" s="1060"/>
      <c r="L460" s="82">
        <f>IF(OR(F460="",S460=0),0,IF(Z460=2,0.55,IF(Z460=3,0.25)))</f>
        <v>0</v>
      </c>
      <c r="M460" s="1028"/>
      <c r="N460" s="1028"/>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2</v>
      </c>
      <c r="AA460" s="1140" t="s">
        <v>513</v>
      </c>
      <c r="AB460" s="1140"/>
      <c r="AC460" s="1140"/>
      <c r="AD460" s="14"/>
      <c r="AE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3">
      <c r="B461" s="460"/>
      <c r="C461" s="461"/>
      <c r="D461" s="462"/>
      <c r="E461" s="468"/>
      <c r="F461" s="1039" t="str">
        <f>IF(AND(S460=0,Z460=2),"Triceps","")</f>
        <v>Triceps</v>
      </c>
      <c r="G461" s="1040"/>
      <c r="H461" s="1040"/>
      <c r="I461" s="1040"/>
      <c r="J461" s="1040"/>
      <c r="K461" s="1041"/>
      <c r="L461" s="82">
        <f>IF(OR(F461="",S461=0,$Z$460=3),0,IF($Z$460=2,0.55,0))</f>
        <v>0</v>
      </c>
      <c r="M461" s="1028"/>
      <c r="N461" s="1028"/>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3">
      <c r="B462" s="460"/>
      <c r="C462" s="461"/>
      <c r="D462" s="462"/>
      <c r="E462" s="468"/>
      <c r="F462" s="757" t="str">
        <f>IF(AND(S460=0,Z460=2),"Anconeus","")</f>
        <v>Anconeus</v>
      </c>
      <c r="G462" s="758"/>
      <c r="H462" s="758"/>
      <c r="I462" s="758"/>
      <c r="J462" s="758"/>
      <c r="K462" s="759"/>
      <c r="L462" s="82">
        <f>IF(OR(F462="",S462=0,$Z$460=3),0,IF($Z$460=2,0.55,0))</f>
        <v>0</v>
      </c>
      <c r="M462" s="1028"/>
      <c r="N462" s="1028"/>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3">
      <c r="B463" s="460"/>
      <c r="C463" s="461"/>
      <c r="D463" s="462"/>
      <c r="E463" s="468"/>
      <c r="F463" s="1039" t="str">
        <f>IF(AND(S460=0,Z460=2),"Brachioradialis","")</f>
        <v>Brachioradialis</v>
      </c>
      <c r="G463" s="1040"/>
      <c r="H463" s="1040"/>
      <c r="I463" s="1040"/>
      <c r="J463" s="1040"/>
      <c r="K463" s="1041"/>
      <c r="L463" s="82">
        <f>IF(OR(F463="",S463=0,$Z$460=3),0,IF($Z$460=2,0.55,0))</f>
        <v>0</v>
      </c>
      <c r="M463" s="1028"/>
      <c r="N463" s="1028"/>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B463" s="10"/>
      <c r="AC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3">
      <c r="B464" s="460"/>
      <c r="C464" s="461"/>
      <c r="D464" s="462"/>
      <c r="E464" s="468"/>
      <c r="F464" s="757" t="str">
        <f>IF(AND(S460=0,Z460=2),"Extensor carpi radialis longus","")</f>
        <v>Extensor carpi radialis longus</v>
      </c>
      <c r="G464" s="758"/>
      <c r="H464" s="758"/>
      <c r="I464" s="758"/>
      <c r="J464" s="758"/>
      <c r="K464" s="759"/>
      <c r="L464" s="82">
        <f>IF(OR(F464="",S464=0,$Z$460=3),0,IF($Z$460=2,0.55,0))</f>
        <v>0</v>
      </c>
      <c r="M464" s="1028"/>
      <c r="N464" s="1028"/>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1:109" ht="15" customHeight="1" x14ac:dyDescent="0.3">
      <c r="B465" s="1109" t="str">
        <f>IF(P461="ERROR","ERROR: If triceps only, select 'Triceps only.'","")</f>
        <v/>
      </c>
      <c r="C465" s="1110"/>
      <c r="D465" s="1110"/>
      <c r="E465" s="1110"/>
      <c r="F465" s="1110"/>
      <c r="G465" s="1110"/>
      <c r="H465" s="1110"/>
      <c r="I465" s="1110"/>
      <c r="J465" s="1110"/>
      <c r="K465" s="1110"/>
      <c r="L465" s="1111"/>
      <c r="M465" s="1099" t="s">
        <v>1553</v>
      </c>
      <c r="N465" s="1100"/>
      <c r="O465" s="1101"/>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1:109" ht="12" customHeight="1" x14ac:dyDescent="0.3">
      <c r="C466" s="2"/>
      <c r="D466" s="2"/>
      <c r="F466" s="2"/>
      <c r="H466" s="2"/>
      <c r="J466" s="2"/>
      <c r="L466" s="2"/>
      <c r="N466" s="2"/>
      <c r="R466" s="137"/>
      <c r="S466" s="98"/>
      <c r="T466" s="593" t="s">
        <v>1688</v>
      </c>
      <c r="U466" s="593" t="s">
        <v>1596</v>
      </c>
      <c r="V466" s="593" t="s">
        <v>1691</v>
      </c>
      <c r="W466" s="593" t="s">
        <v>1692</v>
      </c>
      <c r="X466" s="593"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1:109" ht="15" customHeight="1" x14ac:dyDescent="0.3">
      <c r="B467" s="453" t="s">
        <v>1820</v>
      </c>
      <c r="C467" s="469"/>
      <c r="D467" s="454"/>
      <c r="E467" s="468"/>
      <c r="F467" s="1058" t="str">
        <f>IF(Z470=1,"","Overall loss at level shown")</f>
        <v>Overall loss at level shown</v>
      </c>
      <c r="G467" s="1059"/>
      <c r="H467" s="1059"/>
      <c r="I467" s="1059"/>
      <c r="J467" s="1059"/>
      <c r="K467" s="1060"/>
      <c r="L467" s="82">
        <f>IF(OR(F467="",S467=0),0,0.5)</f>
        <v>0</v>
      </c>
      <c r="M467" s="1028"/>
      <c r="N467" s="1028"/>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1:109" ht="15" customHeight="1" x14ac:dyDescent="0.3">
      <c r="B468" s="467" t="s">
        <v>1821</v>
      </c>
      <c r="C468" s="39"/>
      <c r="D468" s="470"/>
      <c r="E468" s="468"/>
      <c r="F468" s="1039" t="str">
        <f>IF($S$467=1,"","Extensor carpi radialis brevis")</f>
        <v>Extensor carpi radialis brevis</v>
      </c>
      <c r="G468" s="1040"/>
      <c r="H468" s="1040"/>
      <c r="I468" s="1040"/>
      <c r="J468" s="1040"/>
      <c r="K468" s="1041"/>
      <c r="L468" s="82">
        <f>IF(OR(F468="",S468=0),0,0.5)</f>
        <v>0</v>
      </c>
      <c r="M468" s="1028"/>
      <c r="N468" s="1028"/>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1:109" ht="15" customHeight="1" x14ac:dyDescent="0.3">
      <c r="B469" s="467" t="s">
        <v>1823</v>
      </c>
      <c r="C469" s="39"/>
      <c r="D469" s="470"/>
      <c r="E469" s="468"/>
      <c r="F469" s="1039" t="str">
        <f>IF($S$467=1,"","Supinator longus")</f>
        <v>Supinator longus</v>
      </c>
      <c r="G469" s="1040"/>
      <c r="H469" s="1040"/>
      <c r="I469" s="1040"/>
      <c r="J469" s="1040"/>
      <c r="K469" s="1041"/>
      <c r="L469" s="82">
        <f t="shared" ref="L469:L476" si="63">IF(OR(F469="",S469=0),0,0.5)</f>
        <v>0</v>
      </c>
      <c r="M469" s="1028"/>
      <c r="N469" s="1028"/>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1:109" ht="15" customHeight="1" x14ac:dyDescent="0.3">
      <c r="B470" s="467"/>
      <c r="C470" s="39"/>
      <c r="D470" s="470"/>
      <c r="E470" s="468"/>
      <c r="F470" s="1039" t="str">
        <f>IF($S$467=1,"","Extensor digitorum communis")</f>
        <v>Extensor digitorum communis</v>
      </c>
      <c r="G470" s="1040"/>
      <c r="H470" s="1040"/>
      <c r="I470" s="1040"/>
      <c r="J470" s="1040"/>
      <c r="K470" s="1041"/>
      <c r="L470" s="82">
        <f t="shared" si="63"/>
        <v>0</v>
      </c>
      <c r="M470" s="1028"/>
      <c r="N470" s="1028"/>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1:109" ht="15" customHeight="1" x14ac:dyDescent="0.3">
      <c r="B471" s="467"/>
      <c r="C471" s="39"/>
      <c r="D471" s="470"/>
      <c r="E471" s="468"/>
      <c r="F471" s="1039" t="str">
        <f>IF($S$467=1,"","Extensor digiti quinti")</f>
        <v>Extensor digiti quinti</v>
      </c>
      <c r="G471" s="1040"/>
      <c r="H471" s="1040"/>
      <c r="I471" s="1040"/>
      <c r="J471" s="1040"/>
      <c r="K471" s="1041"/>
      <c r="L471" s="82">
        <f t="shared" si="63"/>
        <v>0</v>
      </c>
      <c r="M471" s="1028"/>
      <c r="N471" s="1028"/>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1:109" ht="15" customHeight="1" x14ac:dyDescent="0.3">
      <c r="B472" s="467"/>
      <c r="C472" s="39"/>
      <c r="D472" s="470"/>
      <c r="E472" s="468"/>
      <c r="F472" s="1039" t="str">
        <f>IF($S$467=1,"","Extensor carpi ulnaris")</f>
        <v>Extensor carpi ulnaris</v>
      </c>
      <c r="G472" s="1040"/>
      <c r="H472" s="1040"/>
      <c r="I472" s="1040"/>
      <c r="J472" s="1040"/>
      <c r="K472" s="1041"/>
      <c r="L472" s="82">
        <f t="shared" si="63"/>
        <v>0</v>
      </c>
      <c r="M472" s="1028"/>
      <c r="N472" s="1028"/>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1:109" ht="15" customHeight="1" x14ac:dyDescent="0.3">
      <c r="B473" s="467"/>
      <c r="C473" s="39"/>
      <c r="D473" s="470"/>
      <c r="E473" s="468"/>
      <c r="F473" s="1039" t="str">
        <f>IF($S$467=1,"","Abductor pollicis longus")</f>
        <v>Abductor pollicis longus</v>
      </c>
      <c r="G473" s="1040"/>
      <c r="H473" s="1040"/>
      <c r="I473" s="1040"/>
      <c r="J473" s="1040"/>
      <c r="K473" s="1041"/>
      <c r="L473" s="82">
        <f t="shared" si="63"/>
        <v>0</v>
      </c>
      <c r="M473" s="1028"/>
      <c r="N473" s="1028"/>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1:109" ht="15" customHeight="1" x14ac:dyDescent="0.3">
      <c r="B474" s="467"/>
      <c r="C474" s="39"/>
      <c r="D474" s="470"/>
      <c r="E474" s="468"/>
      <c r="F474" s="771" t="str">
        <f>IF($S$467=1,"","Extensor pollicis longus")</f>
        <v>Extensor pollicis longus</v>
      </c>
      <c r="G474" s="772"/>
      <c r="H474" s="772"/>
      <c r="I474" s="772"/>
      <c r="J474" s="772"/>
      <c r="K474" s="773"/>
      <c r="L474" s="82">
        <f t="shared" si="63"/>
        <v>0</v>
      </c>
      <c r="M474" s="1028"/>
      <c r="N474" s="1028"/>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1:109" ht="15" customHeight="1" x14ac:dyDescent="0.3">
      <c r="B475" s="467"/>
      <c r="C475" s="39"/>
      <c r="D475" s="470"/>
      <c r="E475" s="468"/>
      <c r="F475" s="757" t="str">
        <f>IF($S$467=1,"","Extensor pollicis brevis")</f>
        <v>Extensor pollicis brevis</v>
      </c>
      <c r="G475" s="758"/>
      <c r="H475" s="758"/>
      <c r="I475" s="758"/>
      <c r="J475" s="758"/>
      <c r="K475" s="759"/>
      <c r="L475" s="82">
        <f t="shared" si="63"/>
        <v>0</v>
      </c>
      <c r="M475" s="1028"/>
      <c r="N475" s="1028"/>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1:109" ht="15" customHeight="1" x14ac:dyDescent="0.3">
      <c r="B476" s="285"/>
      <c r="C476" s="183"/>
      <c r="D476" s="455"/>
      <c r="E476" s="468"/>
      <c r="F476" s="1039" t="str">
        <f>IF($S$467=1,"","Extensor indicis proprius")</f>
        <v>Extensor indicis proprius</v>
      </c>
      <c r="G476" s="1040"/>
      <c r="H476" s="1040"/>
      <c r="I476" s="1040"/>
      <c r="J476" s="1040"/>
      <c r="K476" s="1041"/>
      <c r="L476" s="82">
        <f t="shared" si="63"/>
        <v>0</v>
      </c>
      <c r="M476" s="1028"/>
      <c r="N476" s="1028"/>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1:109" ht="15" customHeight="1" x14ac:dyDescent="0.3">
      <c r="B477" s="1057" t="s">
        <v>516</v>
      </c>
      <c r="C477" s="1057"/>
      <c r="D477" s="1057"/>
      <c r="E477" s="958"/>
      <c r="F477" s="958"/>
      <c r="G477" s="958"/>
      <c r="H477" s="958"/>
      <c r="I477" s="958"/>
      <c r="J477" s="958"/>
      <c r="K477" s="958"/>
      <c r="L477" s="958"/>
      <c r="M477" s="958"/>
      <c r="N477" s="958"/>
      <c r="O477" s="958"/>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1:109" ht="15" customHeight="1" x14ac:dyDescent="0.3">
      <c r="A478" s="129"/>
      <c r="B478" s="129"/>
      <c r="C478" s="129"/>
      <c r="D478" s="129"/>
      <c r="E478" s="129"/>
      <c r="F478" s="129"/>
      <c r="G478" s="129"/>
      <c r="H478" s="129"/>
      <c r="I478" s="129"/>
      <c r="J478" s="129"/>
      <c r="K478" s="129"/>
      <c r="L478" s="129"/>
      <c r="M478" s="129"/>
      <c r="N478" s="129"/>
      <c r="O478" s="129"/>
      <c r="P478" s="129"/>
      <c r="Q478" s="129"/>
      <c r="R478" s="129"/>
      <c r="S478" s="98"/>
      <c r="T478" s="593" t="s">
        <v>1688</v>
      </c>
      <c r="U478" s="593" t="s">
        <v>1596</v>
      </c>
      <c r="V478" s="593" t="s">
        <v>1691</v>
      </c>
      <c r="W478" s="593" t="s">
        <v>1692</v>
      </c>
      <c r="X478" s="593"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row>
    <row r="479" spans="1:109" ht="15" customHeight="1" x14ac:dyDescent="0.3">
      <c r="B479" s="457" t="s">
        <v>514</v>
      </c>
      <c r="C479" s="458"/>
      <c r="D479" s="459"/>
      <c r="E479" s="468"/>
      <c r="F479" s="1058" t="str">
        <f>IF(Z482=1,"","Overall loss at level shown")</f>
        <v/>
      </c>
      <c r="G479" s="1059"/>
      <c r="H479" s="1059"/>
      <c r="I479" s="1059"/>
      <c r="J479" s="1059"/>
      <c r="K479" s="1060"/>
      <c r="L479" s="82">
        <f>IF(OR(F479="",$S$479=0),0,IF($Z$482=2,0.69,IF($Z$482=3,0.44,0)))</f>
        <v>0</v>
      </c>
      <c r="M479" s="1028"/>
      <c r="N479" s="1028"/>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row>
    <row r="480" spans="1:109" ht="15" customHeight="1" x14ac:dyDescent="0.3">
      <c r="B480" s="460"/>
      <c r="C480" s="461"/>
      <c r="D480" s="462"/>
      <c r="E480" s="468"/>
      <c r="F480" s="1039" t="str">
        <f>IF(OR($Z$482=1,$S$479=1),"","Pronator teres")</f>
        <v/>
      </c>
      <c r="G480" s="1040"/>
      <c r="H480" s="1040"/>
      <c r="I480" s="1040"/>
      <c r="J480" s="1040"/>
      <c r="K480" s="1041"/>
      <c r="L480" s="82">
        <f t="shared" ref="L480:L491" si="70">IF(OR(F480="",S480=0,$S$479=1),0,IF($Z$482=2,0.69,IF($Z$482=3,0.44,0)))</f>
        <v>0</v>
      </c>
      <c r="M480" s="1028"/>
      <c r="N480" s="1028"/>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row>
    <row r="481" spans="2:57" ht="15" customHeight="1" x14ac:dyDescent="0.3">
      <c r="B481" s="460"/>
      <c r="C481" s="461"/>
      <c r="D481" s="462"/>
      <c r="E481" s="468"/>
      <c r="F481" s="757" t="str">
        <f>IF(OR($Z$482=1,$S$479=1),"","Flexor carpi radialis")</f>
        <v/>
      </c>
      <c r="G481" s="758"/>
      <c r="H481" s="758"/>
      <c r="I481" s="758"/>
      <c r="J481" s="758"/>
      <c r="K481" s="759"/>
      <c r="L481" s="82">
        <f t="shared" si="70"/>
        <v>0</v>
      </c>
      <c r="M481" s="1028"/>
      <c r="N481" s="1028"/>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row>
    <row r="482" spans="2:57" ht="15" customHeight="1" x14ac:dyDescent="0.3">
      <c r="B482" s="460"/>
      <c r="C482" s="461"/>
      <c r="D482" s="462"/>
      <c r="E482" s="468"/>
      <c r="F482" s="1039" t="str">
        <f>IF(OR($Z$482=1,$S$479=1),"","Palmaris longus")</f>
        <v/>
      </c>
      <c r="G482" s="1040"/>
      <c r="H482" s="1040"/>
      <c r="I482" s="1040"/>
      <c r="J482" s="1040"/>
      <c r="K482" s="1041"/>
      <c r="L482" s="82">
        <f t="shared" si="70"/>
        <v>0</v>
      </c>
      <c r="M482" s="1028"/>
      <c r="N482" s="1028"/>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V482" s="151"/>
    </row>
    <row r="483" spans="2:57" ht="15" customHeight="1" x14ac:dyDescent="0.3">
      <c r="B483" s="460"/>
      <c r="C483" s="461"/>
      <c r="D483" s="462"/>
      <c r="E483" s="468"/>
      <c r="F483" s="757" t="str">
        <f>IF(OR($Z$482=1,$S$479=1),"","Flexor digitorum sublimis")</f>
        <v/>
      </c>
      <c r="G483" s="758"/>
      <c r="H483" s="758"/>
      <c r="I483" s="758"/>
      <c r="J483" s="758"/>
      <c r="K483" s="759"/>
      <c r="L483" s="82">
        <f t="shared" si="70"/>
        <v>0</v>
      </c>
      <c r="M483" s="1028"/>
      <c r="N483" s="1028"/>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378"/>
      <c r="AV483" s="378"/>
      <c r="AW483" s="378"/>
      <c r="AX483" s="378"/>
      <c r="AY483" s="378"/>
      <c r="AZ483" s="378"/>
      <c r="BA483" s="378"/>
      <c r="BB483" s="378"/>
      <c r="BC483" s="378"/>
      <c r="BD483" s="378"/>
      <c r="BE483" s="378"/>
    </row>
    <row r="484" spans="2:57" ht="15" customHeight="1" x14ac:dyDescent="0.3">
      <c r="B484" s="460"/>
      <c r="C484" s="461"/>
      <c r="D484" s="462"/>
      <c r="E484" s="468"/>
      <c r="F484" s="1039" t="str">
        <f>IF(OR($Z$482=1,$S$479=1),"","Flexor digitorum profundus")</f>
        <v/>
      </c>
      <c r="G484" s="1040"/>
      <c r="H484" s="1040"/>
      <c r="I484" s="1040"/>
      <c r="J484" s="1040"/>
      <c r="K484" s="1041"/>
      <c r="L484" s="82">
        <f t="shared" si="70"/>
        <v>0</v>
      </c>
      <c r="M484" s="1028"/>
      <c r="N484" s="1028"/>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378"/>
      <c r="AV484" s="378"/>
      <c r="AW484" s="378"/>
      <c r="AX484" s="378"/>
      <c r="AY484" s="378"/>
      <c r="AZ484" s="378"/>
      <c r="BA484" s="378"/>
      <c r="BB484" s="378"/>
      <c r="BC484" s="378"/>
      <c r="BD484" s="378"/>
      <c r="BE484" s="378"/>
    </row>
    <row r="485" spans="2:57" ht="15" customHeight="1" x14ac:dyDescent="0.3">
      <c r="B485" s="460"/>
      <c r="C485" s="461"/>
      <c r="D485" s="462"/>
      <c r="E485" s="468"/>
      <c r="F485" s="1039" t="str">
        <f>IF(OR($Z$482=1,$S$479=1),"","Flexor pollicis longus")</f>
        <v/>
      </c>
      <c r="G485" s="1040"/>
      <c r="H485" s="1040"/>
      <c r="I485" s="1040"/>
      <c r="J485" s="1040"/>
      <c r="K485" s="1041"/>
      <c r="L485" s="82">
        <f t="shared" si="70"/>
        <v>0</v>
      </c>
      <c r="M485" s="1028"/>
      <c r="N485" s="1028"/>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378"/>
      <c r="AV485" s="378"/>
      <c r="AW485" s="378"/>
      <c r="AX485" s="378"/>
      <c r="AY485" s="378"/>
      <c r="AZ485" s="378"/>
      <c r="BA485" s="378"/>
      <c r="BB485" s="378"/>
      <c r="BC485" s="378"/>
      <c r="BD485" s="378"/>
      <c r="BE485" s="378"/>
    </row>
    <row r="486" spans="2:57" ht="15" customHeight="1" x14ac:dyDescent="0.3">
      <c r="B486" s="460"/>
      <c r="C486" s="461"/>
      <c r="D486" s="462"/>
      <c r="E486" s="468"/>
      <c r="F486" s="1039" t="str">
        <f>IF(OR($Z$482=1,$S$479=1),"","Pronator quadratus")</f>
        <v/>
      </c>
      <c r="G486" s="1040"/>
      <c r="H486" s="1040"/>
      <c r="I486" s="1040"/>
      <c r="J486" s="1040"/>
      <c r="K486" s="1041"/>
      <c r="L486" s="82">
        <f t="shared" si="70"/>
        <v>0</v>
      </c>
      <c r="M486" s="1028"/>
      <c r="N486" s="1028"/>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378"/>
      <c r="AV486" s="378"/>
      <c r="AW486" s="378"/>
      <c r="AX486" s="378"/>
      <c r="AY486" s="378"/>
      <c r="AZ486" s="378"/>
      <c r="BA486" s="378"/>
      <c r="BB486" s="378"/>
      <c r="BC486" s="378"/>
      <c r="BD486" s="378"/>
      <c r="BE486" s="378"/>
    </row>
    <row r="487" spans="2:57" ht="15" customHeight="1" x14ac:dyDescent="0.3">
      <c r="B487" s="460"/>
      <c r="C487" s="461"/>
      <c r="D487" s="462"/>
      <c r="E487" s="468"/>
      <c r="F487" s="1039" t="str">
        <f>IF(OR($Z$482=1,$S$479=1),"","Abductor pollicis brevis")</f>
        <v/>
      </c>
      <c r="G487" s="1040"/>
      <c r="H487" s="1040"/>
      <c r="I487" s="1040"/>
      <c r="J487" s="1040"/>
      <c r="K487" s="1041"/>
      <c r="L487" s="82">
        <f t="shared" si="70"/>
        <v>0</v>
      </c>
      <c r="M487" s="1028"/>
      <c r="N487" s="1028"/>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378"/>
      <c r="AV487" s="378"/>
      <c r="AW487" s="378"/>
      <c r="AX487" s="378"/>
      <c r="AY487" s="378"/>
      <c r="AZ487" s="378"/>
      <c r="BA487" s="378"/>
      <c r="BB487" s="378"/>
      <c r="BC487" s="378"/>
      <c r="BD487" s="378"/>
      <c r="BE487" s="378"/>
    </row>
    <row r="488" spans="2:57" ht="15" customHeight="1" x14ac:dyDescent="0.3">
      <c r="B488" s="460"/>
      <c r="C488" s="461"/>
      <c r="D488" s="462"/>
      <c r="E488" s="468"/>
      <c r="F488" s="1039" t="str">
        <f>IF(OR($Z$482=1,$S$479=1),"","Opponens pollicis")</f>
        <v/>
      </c>
      <c r="G488" s="1040"/>
      <c r="H488" s="1040"/>
      <c r="I488" s="1040"/>
      <c r="J488" s="1040"/>
      <c r="K488" s="1041"/>
      <c r="L488" s="82">
        <f t="shared" si="70"/>
        <v>0</v>
      </c>
      <c r="M488" s="1028"/>
      <c r="N488" s="1028"/>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8"/>
      <c r="AV488" s="378"/>
      <c r="AW488" s="378"/>
      <c r="AX488" s="378"/>
      <c r="AY488" s="378"/>
      <c r="AZ488" s="378"/>
      <c r="BA488" s="378"/>
      <c r="BB488" s="378"/>
      <c r="BC488" s="378"/>
      <c r="BD488" s="378"/>
      <c r="BE488" s="378"/>
    </row>
    <row r="489" spans="2:57" ht="15" customHeight="1" x14ac:dyDescent="0.3">
      <c r="B489" s="460"/>
      <c r="C489" s="461"/>
      <c r="D489" s="462"/>
      <c r="E489" s="468"/>
      <c r="F489" s="1039" t="str">
        <f>IF(OR($Z$482=1,$S$479=1),"","Flexor pollicis brevis")</f>
        <v/>
      </c>
      <c r="G489" s="1040"/>
      <c r="H489" s="1040"/>
      <c r="I489" s="1040"/>
      <c r="J489" s="1040"/>
      <c r="K489" s="1041"/>
      <c r="L489" s="82">
        <f t="shared" si="70"/>
        <v>0</v>
      </c>
      <c r="M489" s="1028"/>
      <c r="N489" s="1028"/>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8"/>
      <c r="AV489" s="378"/>
      <c r="AW489" s="378"/>
      <c r="AX489" s="378"/>
      <c r="AY489" s="378"/>
      <c r="AZ489" s="378"/>
      <c r="BA489" s="378"/>
      <c r="BB489" s="378"/>
      <c r="BC489" s="378"/>
      <c r="BD489" s="378"/>
      <c r="BE489" s="378"/>
    </row>
    <row r="490" spans="2:57" ht="15" customHeight="1" x14ac:dyDescent="0.3">
      <c r="B490" s="460"/>
      <c r="C490" s="461"/>
      <c r="D490" s="462"/>
      <c r="E490" s="468"/>
      <c r="F490" s="771" t="str">
        <f>IF(OR($Z$482=1,$S$479=1),"","Lumbricales I")</f>
        <v/>
      </c>
      <c r="G490" s="772"/>
      <c r="H490" s="772"/>
      <c r="I490" s="772"/>
      <c r="J490" s="772"/>
      <c r="K490" s="773"/>
      <c r="L490" s="82">
        <f t="shared" si="70"/>
        <v>0</v>
      </c>
      <c r="M490" s="1028"/>
      <c r="N490" s="1028"/>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8"/>
      <c r="AV490" s="378"/>
      <c r="AW490" s="378"/>
      <c r="AX490" s="378"/>
      <c r="AY490" s="378"/>
      <c r="AZ490" s="378"/>
      <c r="BA490" s="378"/>
      <c r="BB490" s="378"/>
      <c r="BC490" s="378"/>
      <c r="BD490" s="378"/>
      <c r="BE490" s="378"/>
    </row>
    <row r="491" spans="2:57" ht="15" customHeight="1" x14ac:dyDescent="0.3">
      <c r="B491" s="463"/>
      <c r="C491" s="464"/>
      <c r="D491" s="465"/>
      <c r="E491" s="468"/>
      <c r="F491" s="757" t="str">
        <f>IF(OR($Z$482=1,$S$479=1),"","Lumbricales II")</f>
        <v/>
      </c>
      <c r="G491" s="758"/>
      <c r="H491" s="758"/>
      <c r="I491" s="758"/>
      <c r="J491" s="758"/>
      <c r="K491" s="759"/>
      <c r="L491" s="82">
        <f t="shared" si="70"/>
        <v>0</v>
      </c>
      <c r="M491" s="1028"/>
      <c r="N491" s="1028"/>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row>
    <row r="492" spans="2:57" ht="15" customHeight="1" x14ac:dyDescent="0.3">
      <c r="B492" s="1061" t="s">
        <v>516</v>
      </c>
      <c r="C492" s="1061"/>
      <c r="D492" s="1061"/>
      <c r="E492" s="959"/>
      <c r="F492" s="959"/>
      <c r="G492" s="959"/>
      <c r="H492" s="959"/>
      <c r="I492" s="959"/>
      <c r="J492" s="959"/>
      <c r="K492" s="959"/>
      <c r="L492" s="959"/>
      <c r="M492" s="959"/>
      <c r="N492" s="959"/>
      <c r="O492" s="959"/>
      <c r="P492" s="294">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row>
    <row r="493" spans="2:57" ht="12" customHeight="1" x14ac:dyDescent="0.3">
      <c r="B493" s="792"/>
      <c r="C493" s="792"/>
      <c r="D493" s="792"/>
      <c r="E493" s="792"/>
      <c r="F493" s="792"/>
      <c r="G493" s="792"/>
      <c r="H493" s="792"/>
      <c r="I493" s="792"/>
      <c r="J493" s="792"/>
      <c r="K493" s="792"/>
      <c r="L493" s="792"/>
      <c r="M493" s="792"/>
      <c r="N493" s="792"/>
      <c r="O493" s="792"/>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row>
    <row r="494" spans="2:57" ht="12" customHeight="1" x14ac:dyDescent="0.3">
      <c r="B494" s="792"/>
      <c r="C494" s="792"/>
      <c r="D494" s="792"/>
      <c r="E494" s="1102"/>
      <c r="F494" s="1102"/>
      <c r="G494" s="1102"/>
      <c r="H494" s="1102"/>
      <c r="I494" s="1102"/>
      <c r="J494" s="1102"/>
      <c r="K494" s="1102"/>
      <c r="L494" s="1102"/>
      <c r="M494" s="1102"/>
      <c r="N494" s="1102"/>
      <c r="O494" s="1102"/>
      <c r="P494" s="90"/>
      <c r="R494" s="10"/>
      <c r="S494" s="98"/>
      <c r="T494" s="98"/>
      <c r="U494" s="94"/>
      <c r="V494" s="96"/>
      <c r="W494" s="96"/>
      <c r="X494" s="96"/>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row>
    <row r="495" spans="2:57" ht="15" customHeight="1" x14ac:dyDescent="0.3">
      <c r="B495" s="457" t="s">
        <v>81</v>
      </c>
      <c r="C495" s="458"/>
      <c r="D495" s="459"/>
      <c r="E495" s="466"/>
      <c r="F495" s="806" t="str">
        <f>IF(Z497=1,"","Overall loss at level shown")</f>
        <v/>
      </c>
      <c r="G495" s="806"/>
      <c r="H495" s="806"/>
      <c r="I495" s="806"/>
      <c r="J495" s="806"/>
      <c r="K495" s="806"/>
      <c r="L495" s="82">
        <f>IF(OR(F495="",S495=0),0,IF($Z$497=2,0.44,IF($Z$497=3,0.31,0)))</f>
        <v>0</v>
      </c>
      <c r="M495" s="1028"/>
      <c r="N495" s="1028"/>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row>
    <row r="496" spans="2:57" ht="15" customHeight="1" x14ac:dyDescent="0.3">
      <c r="B496" s="460"/>
      <c r="C496" s="461"/>
      <c r="D496" s="462"/>
      <c r="E496" s="466"/>
      <c r="F496" s="806" t="str">
        <f>IF(OR($Z$497=1,$S$495=1),"","Flexor carpi ulnaris")</f>
        <v/>
      </c>
      <c r="G496" s="806"/>
      <c r="H496" s="806"/>
      <c r="I496" s="806"/>
      <c r="J496" s="806"/>
      <c r="K496" s="806"/>
      <c r="L496" s="82">
        <f t="shared" ref="L496:L505" si="78">IF(OR(F496="",S496=0,$S$495=1),0,IF($Z$497=2,0.44,IF($Z$497=3,0.31,0)))</f>
        <v>0</v>
      </c>
      <c r="M496" s="1028"/>
      <c r="N496" s="1028"/>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27" customHeight="1" x14ac:dyDescent="0.3">
      <c r="B497" s="460"/>
      <c r="C497" s="461"/>
      <c r="D497" s="462"/>
      <c r="E497" s="466"/>
      <c r="F497" s="776" t="str">
        <f>IF(OR($Z$497=1,$S$495=1),"","Flexor digitorum profundus (medial half)")</f>
        <v/>
      </c>
      <c r="G497" s="776"/>
      <c r="H497" s="776"/>
      <c r="I497" s="776"/>
      <c r="J497" s="776"/>
      <c r="K497" s="776"/>
      <c r="L497" s="82">
        <f t="shared" si="78"/>
        <v>0</v>
      </c>
      <c r="M497" s="1028"/>
      <c r="N497" s="1028"/>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row>
    <row r="498" spans="2:46" ht="15" customHeight="1" x14ac:dyDescent="0.3">
      <c r="B498" s="460"/>
      <c r="C498" s="461"/>
      <c r="D498" s="462"/>
      <c r="E498" s="466"/>
      <c r="F498" s="806" t="str">
        <f>IF(OR($Z$497=1,$S$495=1),"","Flexor digiti quinti brevis")</f>
        <v/>
      </c>
      <c r="G498" s="806"/>
      <c r="H498" s="806"/>
      <c r="I498" s="806"/>
      <c r="J498" s="806"/>
      <c r="K498" s="806"/>
      <c r="L498" s="82">
        <f t="shared" si="78"/>
        <v>0</v>
      </c>
      <c r="M498" s="1028"/>
      <c r="N498" s="1028"/>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3">
      <c r="B499" s="460"/>
      <c r="C499" s="461"/>
      <c r="D499" s="462"/>
      <c r="E499" s="466"/>
      <c r="F499" s="806" t="str">
        <f>IF(OR($Z$497=1,$S$495=1),"","Abductor digiti quinti")</f>
        <v/>
      </c>
      <c r="G499" s="806"/>
      <c r="H499" s="806"/>
      <c r="I499" s="806"/>
      <c r="J499" s="806"/>
      <c r="K499" s="806"/>
      <c r="L499" s="82">
        <f t="shared" si="78"/>
        <v>0</v>
      </c>
      <c r="M499" s="1028"/>
      <c r="N499" s="1028"/>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3">
      <c r="B500" s="460"/>
      <c r="C500" s="461"/>
      <c r="D500" s="462"/>
      <c r="E500" s="466"/>
      <c r="F500" s="806" t="str">
        <f>IF(OR($Z$497=1,$S$495=1),"","Opponens digiti quinti")</f>
        <v/>
      </c>
      <c r="G500" s="806"/>
      <c r="H500" s="806"/>
      <c r="I500" s="806"/>
      <c r="J500" s="806"/>
      <c r="K500" s="806"/>
      <c r="L500" s="82">
        <f t="shared" si="78"/>
        <v>0</v>
      </c>
      <c r="M500" s="1028"/>
      <c r="N500" s="1028"/>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15" customHeight="1" x14ac:dyDescent="0.3">
      <c r="B501" s="460"/>
      <c r="C501" s="461"/>
      <c r="D501" s="462"/>
      <c r="E501" s="466"/>
      <c r="F501" s="806" t="str">
        <f>IF(OR($Z$497=1,$S$495=1),"","Interossei")</f>
        <v/>
      </c>
      <c r="G501" s="806"/>
      <c r="H501" s="806"/>
      <c r="I501" s="806"/>
      <c r="J501" s="806"/>
      <c r="K501" s="806"/>
      <c r="L501" s="82">
        <f t="shared" si="78"/>
        <v>0</v>
      </c>
      <c r="M501" s="1028"/>
      <c r="N501" s="1028"/>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row>
    <row r="502" spans="2:46" ht="15" customHeight="1" x14ac:dyDescent="0.3">
      <c r="B502" s="460"/>
      <c r="C502" s="461"/>
      <c r="D502" s="462"/>
      <c r="E502" s="471"/>
      <c r="F502" s="806" t="str">
        <f>IF(OR($Z$497=1,$S$495=1),"","Lumbricales III")</f>
        <v/>
      </c>
      <c r="G502" s="806"/>
      <c r="H502" s="806"/>
      <c r="I502" s="806"/>
      <c r="J502" s="806"/>
      <c r="K502" s="806"/>
      <c r="L502" s="82">
        <f t="shared" si="78"/>
        <v>0</v>
      </c>
      <c r="M502" s="1028"/>
      <c r="N502" s="1028"/>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3">
      <c r="B503" s="460"/>
      <c r="C503" s="461"/>
      <c r="D503" s="462"/>
      <c r="E503" s="466"/>
      <c r="F503" s="806" t="str">
        <f>IF(OR($Z$497=1,$S$495=1),"","Lumbricales IV")</f>
        <v/>
      </c>
      <c r="G503" s="806"/>
      <c r="H503" s="806"/>
      <c r="I503" s="806"/>
      <c r="J503" s="806"/>
      <c r="K503" s="806"/>
      <c r="L503" s="82">
        <f t="shared" si="78"/>
        <v>0</v>
      </c>
      <c r="M503" s="1028"/>
      <c r="N503" s="1028"/>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3">
      <c r="B504" s="460"/>
      <c r="C504" s="461"/>
      <c r="D504" s="462"/>
      <c r="E504" s="466"/>
      <c r="F504" s="806" t="str">
        <f>IF(OR($Z$497=1,$S$495=1),"","Adductor pollicis")</f>
        <v/>
      </c>
      <c r="G504" s="806"/>
      <c r="H504" s="806"/>
      <c r="I504" s="806"/>
      <c r="J504" s="806"/>
      <c r="K504" s="806"/>
      <c r="L504" s="82">
        <f t="shared" si="78"/>
        <v>0</v>
      </c>
      <c r="M504" s="1028"/>
      <c r="N504" s="1028"/>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27" customHeight="1" x14ac:dyDescent="0.3">
      <c r="B505" s="463"/>
      <c r="C505" s="464"/>
      <c r="D505" s="465"/>
      <c r="E505" s="466"/>
      <c r="F505" s="776" t="str">
        <f>IF(OR($Z$497=1,$S$495=1),"","Flexor pollicis brevis 
(deep part)")</f>
        <v/>
      </c>
      <c r="G505" s="776"/>
      <c r="H505" s="776"/>
      <c r="I505" s="776"/>
      <c r="J505" s="776"/>
      <c r="K505" s="776"/>
      <c r="L505" s="82">
        <f t="shared" si="78"/>
        <v>0</v>
      </c>
      <c r="M505" s="1028"/>
      <c r="N505" s="1028"/>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3">
      <c r="B506" s="959" t="s">
        <v>516</v>
      </c>
      <c r="C506" s="959"/>
      <c r="D506" s="959"/>
      <c r="E506" s="959"/>
      <c r="F506" s="959"/>
      <c r="G506" s="959"/>
      <c r="H506" s="959"/>
      <c r="I506" s="959"/>
      <c r="J506" s="959"/>
      <c r="K506" s="959"/>
      <c r="L506" s="959"/>
      <c r="M506" s="959"/>
      <c r="N506" s="959"/>
      <c r="O506" s="959"/>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2" customHeight="1" x14ac:dyDescent="0.3">
      <c r="B507" s="10"/>
      <c r="C507" s="10"/>
      <c r="D507" s="10"/>
      <c r="E507" s="10"/>
      <c r="F507" s="10"/>
      <c r="G507" s="10"/>
      <c r="H507" s="10"/>
      <c r="I507" s="10"/>
      <c r="J507" s="10"/>
      <c r="K507" s="10"/>
      <c r="L507" s="10"/>
      <c r="M507" s="10"/>
      <c r="N507" s="10"/>
      <c r="O507" s="10"/>
      <c r="P507" s="10"/>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8" customHeight="1" x14ac:dyDescent="0.3">
      <c r="B508" s="959" t="s">
        <v>83</v>
      </c>
      <c r="C508" s="959"/>
      <c r="D508" s="959"/>
      <c r="E508" s="959"/>
      <c r="F508" s="959"/>
      <c r="G508" s="959"/>
      <c r="H508" s="959"/>
      <c r="I508" s="959"/>
      <c r="J508" s="959"/>
      <c r="K508" s="959"/>
      <c r="L508" s="959"/>
      <c r="M508" s="959"/>
      <c r="N508" s="959"/>
      <c r="O508" s="959"/>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12" customHeight="1" x14ac:dyDescent="0.3">
      <c r="B509" s="10"/>
      <c r="C509" s="10"/>
      <c r="D509" s="10"/>
      <c r="E509" s="10"/>
      <c r="F509" s="10"/>
      <c r="G509" s="10"/>
      <c r="H509" s="10"/>
      <c r="I509" s="10"/>
      <c r="J509" s="10"/>
      <c r="K509" s="10"/>
      <c r="L509" s="10"/>
      <c r="M509" s="10"/>
      <c r="N509" s="10"/>
      <c r="O509" s="10"/>
      <c r="P509" s="10"/>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8" customHeight="1" x14ac:dyDescent="0.3">
      <c r="B510" s="959" t="s">
        <v>84</v>
      </c>
      <c r="C510" s="959"/>
      <c r="D510" s="959"/>
      <c r="E510" s="959"/>
      <c r="F510" s="959"/>
      <c r="G510" s="959"/>
      <c r="H510" s="959"/>
      <c r="I510" s="959"/>
      <c r="J510" s="959"/>
      <c r="K510" s="959"/>
      <c r="L510" s="959"/>
      <c r="M510" s="959"/>
      <c r="N510" s="959"/>
      <c r="O510" s="959"/>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3">
      <c r="B511" s="792"/>
      <c r="C511" s="792"/>
      <c r="D511" s="792"/>
      <c r="E511" s="792"/>
      <c r="F511" s="792"/>
      <c r="G511" s="792"/>
      <c r="H511" s="792"/>
      <c r="I511" s="792"/>
      <c r="J511" s="792"/>
      <c r="K511" s="792"/>
      <c r="L511" s="792"/>
      <c r="M511" s="792"/>
      <c r="N511" s="792"/>
      <c r="O511" s="792"/>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3">
      <c r="B512" s="927" t="s">
        <v>85</v>
      </c>
      <c r="C512" s="925"/>
      <c r="D512" s="925"/>
      <c r="E512" s="925"/>
      <c r="F512" s="925"/>
      <c r="G512" s="925"/>
      <c r="H512" s="925"/>
      <c r="I512" s="925"/>
      <c r="J512" s="925"/>
      <c r="K512" s="925"/>
      <c r="L512" s="925"/>
      <c r="M512" s="925"/>
      <c r="N512" s="925"/>
      <c r="O512" s="925"/>
      <c r="P512" s="845"/>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40.5" customHeight="1" x14ac:dyDescent="0.3">
      <c r="B513" s="776" t="s">
        <v>773</v>
      </c>
      <c r="C513" s="776"/>
      <c r="D513" s="776"/>
      <c r="E513" s="776"/>
      <c r="F513" s="776"/>
      <c r="G513" s="776"/>
      <c r="H513" s="776"/>
      <c r="I513" s="776"/>
      <c r="J513" s="776"/>
      <c r="K513" s="776"/>
      <c r="L513" s="776"/>
      <c r="M513" s="776"/>
      <c r="N513" s="776"/>
      <c r="O513" s="776"/>
      <c r="P513" s="847"/>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9.5" customHeight="1" x14ac:dyDescent="0.3">
      <c r="A514" s="15"/>
      <c r="B514" s="806" t="s">
        <v>948</v>
      </c>
      <c r="C514" s="806"/>
      <c r="D514" s="806"/>
      <c r="E514" s="806"/>
      <c r="F514" s="806"/>
      <c r="G514" s="806"/>
      <c r="H514" s="806"/>
      <c r="I514" s="806"/>
      <c r="J514" s="806"/>
      <c r="K514" s="806"/>
      <c r="L514" s="1023"/>
      <c r="M514" s="1023"/>
      <c r="N514" s="1023"/>
      <c r="O514" s="1023"/>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3">
      <c r="B515" s="792"/>
      <c r="C515" s="792"/>
      <c r="D515" s="792"/>
      <c r="E515" s="792"/>
      <c r="F515" s="792"/>
      <c r="G515" s="792"/>
      <c r="H515" s="792"/>
      <c r="I515" s="792"/>
      <c r="J515" s="792"/>
      <c r="K515" s="792"/>
      <c r="L515" s="792"/>
      <c r="M515" s="792"/>
      <c r="N515" s="792"/>
      <c r="O515" s="792"/>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3">
      <c r="B516" s="925" t="s">
        <v>86</v>
      </c>
      <c r="C516" s="925"/>
      <c r="D516" s="925"/>
      <c r="E516" s="925"/>
      <c r="F516" s="925"/>
      <c r="G516" s="925"/>
      <c r="H516" s="925"/>
      <c r="I516" s="925"/>
      <c r="J516" s="925"/>
      <c r="K516" s="925"/>
      <c r="L516" s="925"/>
      <c r="M516" s="925"/>
      <c r="N516" s="925"/>
      <c r="O516" s="925"/>
      <c r="P516" s="925"/>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67.5" customHeight="1" x14ac:dyDescent="0.3">
      <c r="B517" s="776" t="s">
        <v>766</v>
      </c>
      <c r="C517" s="776"/>
      <c r="D517" s="776"/>
      <c r="E517" s="776"/>
      <c r="F517" s="776"/>
      <c r="G517" s="776"/>
      <c r="H517" s="776"/>
      <c r="I517" s="776"/>
      <c r="J517" s="776"/>
      <c r="K517" s="776"/>
      <c r="L517" s="776"/>
      <c r="M517" s="776"/>
      <c r="N517" s="776"/>
      <c r="O517" s="776"/>
      <c r="P517" s="925"/>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row>
    <row r="518" spans="1:46" ht="15" customHeight="1" x14ac:dyDescent="0.3">
      <c r="B518" s="50" t="s">
        <v>1573</v>
      </c>
      <c r="C518" s="770">
        <f>P60</f>
        <v>0</v>
      </c>
      <c r="D518" s="746"/>
      <c r="E518" s="746"/>
      <c r="F518" s="925" t="s">
        <v>1164</v>
      </c>
      <c r="G518" s="925"/>
      <c r="H518" s="925"/>
      <c r="I518" s="925"/>
      <c r="J518" s="925"/>
      <c r="K518" s="925"/>
      <c r="L518" s="936">
        <f>UETable!BF90</f>
        <v>0</v>
      </c>
      <c r="M518" s="936"/>
      <c r="N518" s="925" t="s">
        <v>1655</v>
      </c>
      <c r="O518" s="925"/>
      <c r="P518" s="770">
        <f>IF(OR(B524=Y518,B524=Y519,B524=Y520),0,SUM(L518:M522))</f>
        <v>0</v>
      </c>
      <c r="R518" s="50">
        <f>X61</f>
        <v>0</v>
      </c>
      <c r="S518" s="50">
        <f>IF(SUM(E528:F552)&gt;0,1,IF(SUM(E595:E607)&gt;0,1,0))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row>
    <row r="519" spans="1:46" ht="15" customHeight="1" x14ac:dyDescent="0.3">
      <c r="B519" s="50" t="s">
        <v>146</v>
      </c>
      <c r="C519" s="770">
        <f>P137</f>
        <v>0</v>
      </c>
      <c r="D519" s="746"/>
      <c r="E519" s="746"/>
      <c r="F519" s="925" t="s">
        <v>1164</v>
      </c>
      <c r="G519" s="925"/>
      <c r="H519" s="925"/>
      <c r="I519" s="925"/>
      <c r="J519" s="925"/>
      <c r="K519" s="925"/>
      <c r="L519" s="936">
        <f>UETable!BF91</f>
        <v>0</v>
      </c>
      <c r="M519" s="936"/>
      <c r="N519" s="925" t="s">
        <v>1655</v>
      </c>
      <c r="O519" s="925"/>
      <c r="P519" s="746"/>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row>
    <row r="520" spans="1:46" ht="15" customHeight="1" x14ac:dyDescent="0.3">
      <c r="B520" s="50" t="s">
        <v>1566</v>
      </c>
      <c r="C520" s="770">
        <f>P214</f>
        <v>0</v>
      </c>
      <c r="D520" s="746"/>
      <c r="E520" s="746"/>
      <c r="F520" s="925" t="s">
        <v>1164</v>
      </c>
      <c r="G520" s="925"/>
      <c r="H520" s="925"/>
      <c r="I520" s="925"/>
      <c r="J520" s="925"/>
      <c r="K520" s="925"/>
      <c r="L520" s="936">
        <f>UETable!BF92</f>
        <v>0</v>
      </c>
      <c r="M520" s="936"/>
      <c r="N520" s="925" t="s">
        <v>1655</v>
      </c>
      <c r="O520" s="925"/>
      <c r="P520" s="746"/>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row>
    <row r="521" spans="1:46" ht="15" customHeight="1" x14ac:dyDescent="0.3">
      <c r="B521" s="50" t="s">
        <v>1568</v>
      </c>
      <c r="C521" s="770">
        <f>P289</f>
        <v>0</v>
      </c>
      <c r="D521" s="746"/>
      <c r="E521" s="746"/>
      <c r="F521" s="925" t="s">
        <v>1164</v>
      </c>
      <c r="G521" s="925"/>
      <c r="H521" s="925"/>
      <c r="I521" s="925"/>
      <c r="J521" s="925"/>
      <c r="K521" s="925"/>
      <c r="L521" s="936">
        <f>UETable!BF93</f>
        <v>0</v>
      </c>
      <c r="M521" s="936"/>
      <c r="N521" s="925" t="s">
        <v>1655</v>
      </c>
      <c r="O521" s="925"/>
      <c r="P521" s="746"/>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3">
      <c r="B522" s="50" t="s">
        <v>1570</v>
      </c>
      <c r="C522" s="770">
        <f>P364</f>
        <v>0</v>
      </c>
      <c r="D522" s="746"/>
      <c r="E522" s="746"/>
      <c r="F522" s="925" t="s">
        <v>1164</v>
      </c>
      <c r="G522" s="925"/>
      <c r="H522" s="925"/>
      <c r="I522" s="925"/>
      <c r="J522" s="925"/>
      <c r="K522" s="925"/>
      <c r="L522" s="936">
        <f>UETable!BF94</f>
        <v>0</v>
      </c>
      <c r="M522" s="936"/>
      <c r="N522" s="925" t="s">
        <v>1655</v>
      </c>
      <c r="O522" s="925"/>
      <c r="P522" s="746"/>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row>
    <row r="523" spans="1:46" ht="18" customHeight="1" x14ac:dyDescent="0.3">
      <c r="B523" s="959" t="s">
        <v>56</v>
      </c>
      <c r="C523" s="959"/>
      <c r="D523" s="959"/>
      <c r="E523" s="959"/>
      <c r="F523" s="959"/>
      <c r="G523" s="959"/>
      <c r="H523" s="959"/>
      <c r="I523" s="959"/>
      <c r="J523" s="959"/>
      <c r="K523" s="959"/>
      <c r="L523" s="959"/>
      <c r="M523" s="959"/>
      <c r="N523" s="959"/>
      <c r="O523" s="959"/>
      <c r="P523" s="746"/>
      <c r="R523" s="50">
        <f>COUNTIF(R518:R522,2)</f>
        <v>0</v>
      </c>
      <c r="S523" s="50" t="s">
        <v>1990</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row>
    <row r="524" spans="1:46" ht="30" customHeight="1" x14ac:dyDescent="0.3">
      <c r="B524" s="1056" t="str">
        <f>IF(T524=0,"",IF(S518=1,Y522,IF(AND(R523=1,R524=0),Y518,IF(AND(R523=1,R524&gt;0),Y519,IF(OR(U524=2,U524=4),Y520,IF(OR(U524=1,U524=3),Y521,""))))))</f>
        <v/>
      </c>
      <c r="C524" s="1056"/>
      <c r="D524" s="1056"/>
      <c r="E524" s="1056"/>
      <c r="F524" s="1056"/>
      <c r="G524" s="1056"/>
      <c r="H524" s="1056"/>
      <c r="I524" s="1056"/>
      <c r="J524" s="1056"/>
      <c r="K524" s="1056"/>
      <c r="L524" s="1056"/>
      <c r="M524" s="1056"/>
      <c r="N524" s="1056"/>
      <c r="O524" s="1056"/>
      <c r="P524" s="1056"/>
      <c r="R524" s="50">
        <f>COUNTIF(R518:R522,1)</f>
        <v>0</v>
      </c>
      <c r="S524" s="259" t="s">
        <v>1745</v>
      </c>
      <c r="T524" s="50">
        <f>IF(SUM(C518:E522)=0,0,1)</f>
        <v>0</v>
      </c>
      <c r="U524" s="50">
        <f>IF(T524=0,0,IF(AND(R2&lt;R1,U523&gt;T523),1,IF(AND(R2&lt;R1,U523&lt;=T523),2,IF(AND(R2&gt;=R1,W518&gt;V523),3,IF(AND(R2&gt;=R1,W518&lt;=V523),4,0)))))</f>
        <v>0</v>
      </c>
      <c r="V524" s="776" t="s">
        <v>2204</v>
      </c>
      <c r="W524" s="776"/>
      <c r="X524" s="776"/>
      <c r="Y524" s="776"/>
      <c r="Z524" s="776"/>
      <c r="AA524" s="776"/>
      <c r="AB524" s="776"/>
      <c r="AC524" s="776"/>
      <c r="AD524" s="776"/>
      <c r="AE524" s="10"/>
      <c r="AF524" s="10"/>
      <c r="AG524" s="10"/>
      <c r="AH524" s="10"/>
      <c r="AI524" s="10"/>
      <c r="AJ524" s="10"/>
      <c r="AK524" s="10"/>
      <c r="AL524" s="10"/>
      <c r="AM524" s="10"/>
      <c r="AN524" s="10"/>
      <c r="AO524" s="10"/>
      <c r="AP524" s="10"/>
      <c r="AQ524" s="10"/>
      <c r="AR524" s="10"/>
      <c r="AS524" s="10"/>
      <c r="AT524" s="10"/>
    </row>
    <row r="525" spans="1:46" ht="6" customHeight="1" x14ac:dyDescent="0.3">
      <c r="B525" s="712"/>
      <c r="C525" s="712"/>
      <c r="D525" s="712"/>
      <c r="E525" s="712"/>
      <c r="F525" s="712"/>
      <c r="G525" s="712"/>
      <c r="H525" s="712"/>
      <c r="I525" s="712"/>
      <c r="J525" s="712"/>
      <c r="K525" s="712"/>
      <c r="L525" s="712"/>
      <c r="M525" s="712"/>
      <c r="N525" s="712"/>
      <c r="O525" s="712"/>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row>
    <row r="526" spans="1:46" ht="6.75" customHeight="1" x14ac:dyDescent="0.3">
      <c r="B526" s="712"/>
      <c r="C526" s="712"/>
      <c r="D526" s="712"/>
      <c r="E526" s="712"/>
      <c r="F526" s="712"/>
      <c r="G526" s="712"/>
      <c r="H526" s="712"/>
      <c r="I526" s="712"/>
      <c r="J526" s="712"/>
      <c r="K526" s="712"/>
      <c r="L526" s="712"/>
      <c r="M526" s="712"/>
      <c r="N526" s="712"/>
      <c r="O526" s="712"/>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row>
    <row r="527" spans="1:46" ht="27" customHeight="1" x14ac:dyDescent="0.3">
      <c r="B527" s="1030" t="s">
        <v>1746</v>
      </c>
      <c r="C527" s="1031"/>
      <c r="D527" s="1031"/>
      <c r="E527" s="1031"/>
      <c r="F527" s="1032"/>
      <c r="G527" s="922" t="s">
        <v>1524</v>
      </c>
      <c r="H527" s="941"/>
      <c r="I527" s="941"/>
      <c r="J527" s="942"/>
      <c r="K527" s="1003"/>
      <c r="L527" s="1004"/>
      <c r="M527" s="1004"/>
      <c r="N527" s="1004"/>
      <c r="O527" s="1005"/>
      <c r="P527" s="872">
        <f>BV533</f>
        <v>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row>
    <row r="528" spans="1:46" ht="27" customHeight="1" x14ac:dyDescent="0.3">
      <c r="B528" s="776" t="s">
        <v>1747</v>
      </c>
      <c r="C528" s="806"/>
      <c r="D528" s="806"/>
      <c r="E528" s="770">
        <f t="shared" ref="E528:E533" si="82">P385</f>
        <v>0</v>
      </c>
      <c r="F528" s="770"/>
      <c r="G528" s="925" t="s">
        <v>1941</v>
      </c>
      <c r="H528" s="925"/>
      <c r="I528" s="925"/>
      <c r="J528" s="925"/>
      <c r="K528" s="1006"/>
      <c r="L528" s="1007"/>
      <c r="M528" s="1007"/>
      <c r="N528" s="1007"/>
      <c r="O528" s="1008"/>
      <c r="P528" s="1010"/>
      <c r="R528" s="129"/>
      <c r="S528" s="14"/>
      <c r="T528" s="96"/>
      <c r="U528" s="129"/>
      <c r="Z528" s="10"/>
      <c r="AA528" s="10"/>
      <c r="AB528" s="10"/>
      <c r="AC528" s="10"/>
      <c r="AD528" s="10"/>
      <c r="AE528" s="10"/>
      <c r="AF528" s="10"/>
      <c r="AG528" s="10"/>
      <c r="AH528" s="10"/>
      <c r="AI528" s="10"/>
      <c r="AJ528" s="10"/>
      <c r="AK528" s="10"/>
      <c r="AL528" s="10"/>
      <c r="AM528" s="10"/>
      <c r="AN528" s="10"/>
      <c r="AO528" s="10"/>
      <c r="AP528" s="10"/>
      <c r="AQ528" s="10"/>
      <c r="AR528" s="10"/>
      <c r="AS528" s="10"/>
      <c r="AT528" s="10"/>
    </row>
    <row r="529" spans="2:75" ht="15.75" customHeight="1" x14ac:dyDescent="0.3">
      <c r="B529" s="806" t="s">
        <v>1748</v>
      </c>
      <c r="C529" s="806"/>
      <c r="D529" s="806"/>
      <c r="E529" s="770">
        <f t="shared" si="82"/>
        <v>0</v>
      </c>
      <c r="F529" s="770"/>
      <c r="G529" s="925" t="s">
        <v>1941</v>
      </c>
      <c r="H529" s="925"/>
      <c r="I529" s="925"/>
      <c r="J529" s="925"/>
      <c r="K529" s="1006"/>
      <c r="L529" s="1007"/>
      <c r="M529" s="1007"/>
      <c r="N529" s="1007"/>
      <c r="O529" s="1008"/>
      <c r="P529" s="1010"/>
      <c r="R529" s="129"/>
      <c r="S529" s="14"/>
      <c r="T529" s="96"/>
      <c r="U529" s="129"/>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75" ht="15.75" customHeight="1" x14ac:dyDescent="0.3">
      <c r="B530" s="806" t="s">
        <v>1167</v>
      </c>
      <c r="C530" s="806"/>
      <c r="D530" s="806"/>
      <c r="E530" s="770">
        <f t="shared" si="82"/>
        <v>0</v>
      </c>
      <c r="F530" s="770"/>
      <c r="G530" s="925" t="s">
        <v>1941</v>
      </c>
      <c r="H530" s="925"/>
      <c r="I530" s="925"/>
      <c r="J530" s="925"/>
      <c r="K530" s="1006"/>
      <c r="L530" s="1007"/>
      <c r="M530" s="1007"/>
      <c r="N530" s="1007"/>
      <c r="O530" s="1008"/>
      <c r="P530" s="1010"/>
      <c r="R530" s="129"/>
      <c r="S530" s="14"/>
      <c r="T530" s="96"/>
      <c r="U530" s="129"/>
      <c r="Z530" s="10"/>
      <c r="AA530" s="10"/>
      <c r="AB530" s="10"/>
      <c r="AC530" s="10"/>
      <c r="AD530" s="10"/>
      <c r="AE530" s="10"/>
      <c r="AF530" s="10"/>
      <c r="AG530" s="10"/>
      <c r="AH530" s="10"/>
      <c r="AI530" s="10"/>
      <c r="AJ530" s="10"/>
      <c r="AK530" s="10" t="s">
        <v>1728</v>
      </c>
      <c r="AL530" s="129">
        <f>E528</f>
        <v>0</v>
      </c>
      <c r="AM530" s="129">
        <f>E529</f>
        <v>0</v>
      </c>
      <c r="AN530" s="129">
        <f>E530</f>
        <v>0</v>
      </c>
      <c r="AO530" s="129">
        <f>E531</f>
        <v>0</v>
      </c>
      <c r="AP530" s="129">
        <f>E532</f>
        <v>0</v>
      </c>
      <c r="AQ530" s="129">
        <f>E533</f>
        <v>0</v>
      </c>
      <c r="AR530" s="129">
        <f>IF(I534&gt;0,I534,E534)</f>
        <v>0</v>
      </c>
      <c r="AS530" s="129">
        <f>IF(I535&gt;0,I535,E535)</f>
        <v>0</v>
      </c>
      <c r="AT530" s="129">
        <f>IF(I536&gt;0,I536,E536)</f>
        <v>0</v>
      </c>
      <c r="AU530" s="129">
        <f>IF(I537&gt;0,I537,E537)</f>
        <v>0</v>
      </c>
      <c r="AV530" s="129">
        <f>IF(I538&gt;0,I538,E538)</f>
        <v>0</v>
      </c>
      <c r="AW530" s="129">
        <f>IF(I539&gt;0,I539,E539)</f>
        <v>0</v>
      </c>
      <c r="AX530" s="129">
        <f>E540</f>
        <v>0</v>
      </c>
      <c r="AY530" s="129">
        <f>E541</f>
        <v>0</v>
      </c>
      <c r="AZ530" s="129">
        <f>E542</f>
        <v>0</v>
      </c>
      <c r="BA530" s="129">
        <f>C543</f>
        <v>0</v>
      </c>
      <c r="BB530" s="129">
        <f>D543</f>
        <v>0</v>
      </c>
      <c r="BC530" s="129">
        <f>E543</f>
        <v>0</v>
      </c>
      <c r="BD530" s="129">
        <f>F543</f>
        <v>0</v>
      </c>
      <c r="BE530" s="129">
        <f>C544</f>
        <v>0</v>
      </c>
      <c r="BF530" s="129">
        <f>D544</f>
        <v>0</v>
      </c>
      <c r="BG530" s="129">
        <f>E544</f>
        <v>0</v>
      </c>
      <c r="BH530" s="129">
        <f>F544</f>
        <v>0</v>
      </c>
      <c r="BI530" s="129">
        <f>C545</f>
        <v>0</v>
      </c>
      <c r="BJ530" s="129">
        <f>D545</f>
        <v>0</v>
      </c>
      <c r="BK530" s="129">
        <f>E545</f>
        <v>0</v>
      </c>
      <c r="BL530" s="129">
        <f>F545</f>
        <v>0</v>
      </c>
      <c r="BM530" s="129">
        <f>C546</f>
        <v>0</v>
      </c>
      <c r="BN530" s="129">
        <f>D546</f>
        <v>0</v>
      </c>
      <c r="BO530" s="129">
        <f>E546</f>
        <v>0</v>
      </c>
      <c r="BP530" s="129">
        <f>F546</f>
        <v>0</v>
      </c>
      <c r="BQ530" s="129">
        <f>E547</f>
        <v>0</v>
      </c>
      <c r="BR530" s="129">
        <f>E548</f>
        <v>0</v>
      </c>
      <c r="BS530" s="129">
        <f>IF(I549&gt;0,I549,E549)</f>
        <v>0</v>
      </c>
      <c r="BT530" s="129">
        <f>IF(I550&gt;0,I550,E550)</f>
        <v>0</v>
      </c>
      <c r="BU530" s="129">
        <f>IF(I551&gt;0,I551,E551)</f>
        <v>0</v>
      </c>
      <c r="BV530" s="129">
        <f>IF(I552&gt;0,I552,E552)</f>
        <v>0</v>
      </c>
      <c r="BW530" s="129">
        <f>IF(I553&gt;0,I553,E553)</f>
        <v>0</v>
      </c>
    </row>
    <row r="531" spans="2:75" ht="15.75" customHeight="1" x14ac:dyDescent="0.3">
      <c r="B531" s="806" t="s">
        <v>1168</v>
      </c>
      <c r="C531" s="806"/>
      <c r="D531" s="806"/>
      <c r="E531" s="770">
        <f t="shared" si="82"/>
        <v>0</v>
      </c>
      <c r="F531" s="770"/>
      <c r="G531" s="925" t="s">
        <v>1941</v>
      </c>
      <c r="H531" s="925"/>
      <c r="I531" s="925"/>
      <c r="J531" s="925"/>
      <c r="K531" s="972" t="str">
        <f>IF(AND(G534&gt;0,AA534=1),"Ankylosis cannot be apportioned.",IF(AND(G535&gt;0,AA535=1),"Ankylosis cannot be apportioned.",""))</f>
        <v/>
      </c>
      <c r="L531" s="973"/>
      <c r="M531" s="973"/>
      <c r="N531" s="973"/>
      <c r="O531" s="974"/>
      <c r="P531" s="1010"/>
      <c r="R531" s="129"/>
      <c r="S531" s="14"/>
      <c r="T531" s="96"/>
      <c r="U531" s="129"/>
      <c r="Z531" s="10"/>
      <c r="AA531" s="10"/>
      <c r="AB531" s="10"/>
      <c r="AC531" s="10"/>
      <c r="AD531" s="10"/>
      <c r="AE531" s="10"/>
      <c r="AF531" s="10"/>
      <c r="AG531" s="10"/>
      <c r="AH531" s="10"/>
      <c r="AI531" s="10"/>
      <c r="AJ531" s="10"/>
      <c r="AK531" s="10" t="s">
        <v>1729</v>
      </c>
      <c r="AL531" s="14">
        <f>LARGE($AL$530:$BW$530,1)</f>
        <v>0</v>
      </c>
      <c r="AM531" s="14">
        <f>LARGE($AL$530:$BW$530,2)</f>
        <v>0</v>
      </c>
      <c r="AN531" s="14">
        <f>LARGE($AL$530:$BW$530,3)</f>
        <v>0</v>
      </c>
      <c r="AO531" s="14">
        <f>LARGE($AL$530:$BW$530,4)</f>
        <v>0</v>
      </c>
      <c r="AP531" s="14">
        <f>LARGE($AL$530:$BW$530,5)</f>
        <v>0</v>
      </c>
      <c r="AQ531" s="14">
        <f>LARGE($AL$530:$BW$530,6)</f>
        <v>0</v>
      </c>
      <c r="AR531" s="14">
        <f>LARGE($AL$530:$BW$530,7)</f>
        <v>0</v>
      </c>
      <c r="AS531" s="14">
        <f>LARGE($AL$530:$BW$530,8)</f>
        <v>0</v>
      </c>
      <c r="AT531" s="14">
        <f>LARGE($AL$530:$BW$530,9)</f>
        <v>0</v>
      </c>
      <c r="AU531" s="14">
        <f>LARGE($AL$530:$BW$530,10)</f>
        <v>0</v>
      </c>
      <c r="AV531" s="14">
        <f>LARGE($AL$530:$BW$530,11)</f>
        <v>0</v>
      </c>
      <c r="AW531" s="14">
        <f>LARGE($AL$530:$BW$530,12)</f>
        <v>0</v>
      </c>
      <c r="AX531" s="14">
        <f>LARGE($AL$530:$BW$530,13)</f>
        <v>0</v>
      </c>
      <c r="AY531" s="14">
        <f>LARGE($AL$530:$BW$530,14)</f>
        <v>0</v>
      </c>
      <c r="AZ531" s="14">
        <f>LARGE($AL$530:$BW$530,15)</f>
        <v>0</v>
      </c>
      <c r="BA531" s="14">
        <f>LARGE($AL$530:$BW$530,16)</f>
        <v>0</v>
      </c>
      <c r="BB531" s="14">
        <f>LARGE($AL$530:$BW$530,17)</f>
        <v>0</v>
      </c>
      <c r="BC531" s="14">
        <f>LARGE($AL$530:$BW$530,18)</f>
        <v>0</v>
      </c>
      <c r="BD531" s="14">
        <f>LARGE($AL$530:$BW$530,19)</f>
        <v>0</v>
      </c>
      <c r="BE531" s="14">
        <f>LARGE($AL$530:$BW$530,20)</f>
        <v>0</v>
      </c>
      <c r="BF531" s="14">
        <f>LARGE($AL$530:$BW$530,21)</f>
        <v>0</v>
      </c>
      <c r="BG531" s="14">
        <f>LARGE($AL$530:$BW$530,22)</f>
        <v>0</v>
      </c>
      <c r="BH531" s="14">
        <f>LARGE($AL$530:$BW$530,23)</f>
        <v>0</v>
      </c>
      <c r="BI531" s="14">
        <f>LARGE($AL$530:$BW$530,24)</f>
        <v>0</v>
      </c>
      <c r="BJ531" s="14">
        <f>LARGE($AL$530:$BW$530,25)</f>
        <v>0</v>
      </c>
      <c r="BK531" s="14">
        <f>LARGE($AL$530:$BW$530,26)</f>
        <v>0</v>
      </c>
      <c r="BL531" s="14">
        <f>LARGE($AL$530:$BW$530,27)</f>
        <v>0</v>
      </c>
      <c r="BM531" s="14">
        <f>LARGE($AL$530:$BW$530,28)</f>
        <v>0</v>
      </c>
      <c r="BN531" s="14">
        <f>LARGE($AL$530:$BW$530,29)</f>
        <v>0</v>
      </c>
      <c r="BO531" s="14">
        <f>LARGE($AL$530:$BW$530,30)</f>
        <v>0</v>
      </c>
      <c r="BP531" s="14">
        <f>LARGE($AL$530:$BW$530,31)</f>
        <v>0</v>
      </c>
      <c r="BQ531" s="14">
        <f>LARGE($AL$530:$BW$530,32)</f>
        <v>0</v>
      </c>
      <c r="BR531" s="14">
        <f>LARGE($AL$530:$BW$530,33)</f>
        <v>0</v>
      </c>
      <c r="BS531" s="14">
        <f>LARGE($AL$530:$BW$530,34)</f>
        <v>0</v>
      </c>
      <c r="BT531" s="14">
        <f>LARGE($AL$530:$BW$530,35)</f>
        <v>0</v>
      </c>
      <c r="BU531" s="14">
        <f>LARGE($AL$530:$BW$530,36)</f>
        <v>0</v>
      </c>
      <c r="BV531" s="14">
        <f>LARGE($AL$530:$BW$530,37)</f>
        <v>0</v>
      </c>
      <c r="BW531" s="14">
        <f>LARGE($AL$530:$BW$530,38)</f>
        <v>0</v>
      </c>
    </row>
    <row r="532" spans="2:75" ht="15.75" customHeight="1" x14ac:dyDescent="0.3">
      <c r="B532" s="806" t="s">
        <v>1169</v>
      </c>
      <c r="C532" s="806"/>
      <c r="D532" s="806"/>
      <c r="E532" s="770">
        <f t="shared" si="82"/>
        <v>0</v>
      </c>
      <c r="F532" s="770"/>
      <c r="G532" s="925" t="s">
        <v>1941</v>
      </c>
      <c r="H532" s="925"/>
      <c r="I532" s="925"/>
      <c r="J532" s="925"/>
      <c r="K532" s="972"/>
      <c r="L532" s="973"/>
      <c r="M532" s="973"/>
      <c r="N532" s="973"/>
      <c r="O532" s="974"/>
      <c r="P532" s="1010"/>
      <c r="R532" s="129"/>
      <c r="S532" s="14"/>
      <c r="T532" s="96"/>
      <c r="U532" s="129"/>
      <c r="Z532" s="10"/>
      <c r="AA532" s="10"/>
      <c r="AB532" s="10"/>
      <c r="AC532" s="10"/>
      <c r="AD532" s="10"/>
      <c r="AE532" s="10"/>
      <c r="AF532" s="10"/>
      <c r="AG532" s="10"/>
      <c r="AH532" s="10"/>
      <c r="AI532" s="10"/>
      <c r="AJ532" s="10"/>
      <c r="AK532" s="10" t="s">
        <v>1730</v>
      </c>
      <c r="AL532" s="77">
        <f>AL531+AM531*(1-AL531)</f>
        <v>0</v>
      </c>
      <c r="AM532" s="77">
        <f>AL533+AN531*(1-AL533)</f>
        <v>0</v>
      </c>
      <c r="AN532" s="77">
        <f t="shared" ref="AN532:BV532" si="83">AM533+AO531*(1-AM533)</f>
        <v>0</v>
      </c>
      <c r="AO532" s="77">
        <f t="shared" si="83"/>
        <v>0</v>
      </c>
      <c r="AP532" s="77">
        <f t="shared" si="83"/>
        <v>0</v>
      </c>
      <c r="AQ532" s="77">
        <f t="shared" si="83"/>
        <v>0</v>
      </c>
      <c r="AR532" s="77">
        <f t="shared" si="83"/>
        <v>0</v>
      </c>
      <c r="AS532" s="77">
        <f t="shared" si="83"/>
        <v>0</v>
      </c>
      <c r="AT532" s="77">
        <f t="shared" si="83"/>
        <v>0</v>
      </c>
      <c r="AU532" s="77">
        <f t="shared" si="83"/>
        <v>0</v>
      </c>
      <c r="AV532" s="77">
        <f t="shared" si="83"/>
        <v>0</v>
      </c>
      <c r="AW532" s="77">
        <f t="shared" si="83"/>
        <v>0</v>
      </c>
      <c r="AX532" s="77">
        <f t="shared" si="83"/>
        <v>0</v>
      </c>
      <c r="AY532" s="77">
        <f t="shared" si="83"/>
        <v>0</v>
      </c>
      <c r="AZ532" s="77">
        <f t="shared" si="83"/>
        <v>0</v>
      </c>
      <c r="BA532" s="77">
        <f t="shared" si="83"/>
        <v>0</v>
      </c>
      <c r="BB532" s="77">
        <f t="shared" si="83"/>
        <v>0</v>
      </c>
      <c r="BC532" s="77">
        <f t="shared" si="83"/>
        <v>0</v>
      </c>
      <c r="BD532" s="77">
        <f t="shared" si="83"/>
        <v>0</v>
      </c>
      <c r="BE532" s="77">
        <f t="shared" si="83"/>
        <v>0</v>
      </c>
      <c r="BF532" s="77">
        <f t="shared" si="83"/>
        <v>0</v>
      </c>
      <c r="BG532" s="77">
        <f t="shared" si="83"/>
        <v>0</v>
      </c>
      <c r="BH532" s="77">
        <f t="shared" si="83"/>
        <v>0</v>
      </c>
      <c r="BI532" s="77">
        <f t="shared" si="83"/>
        <v>0</v>
      </c>
      <c r="BJ532" s="77">
        <f t="shared" si="83"/>
        <v>0</v>
      </c>
      <c r="BK532" s="77">
        <f t="shared" si="83"/>
        <v>0</v>
      </c>
      <c r="BL532" s="77">
        <f t="shared" si="83"/>
        <v>0</v>
      </c>
      <c r="BM532" s="77">
        <f t="shared" si="83"/>
        <v>0</v>
      </c>
      <c r="BN532" s="77">
        <f t="shared" si="83"/>
        <v>0</v>
      </c>
      <c r="BO532" s="77">
        <f t="shared" si="83"/>
        <v>0</v>
      </c>
      <c r="BP532" s="77">
        <f t="shared" si="83"/>
        <v>0</v>
      </c>
      <c r="BQ532" s="77">
        <f t="shared" si="83"/>
        <v>0</v>
      </c>
      <c r="BR532" s="77">
        <f t="shared" si="83"/>
        <v>0</v>
      </c>
      <c r="BS532" s="77">
        <f t="shared" si="83"/>
        <v>0</v>
      </c>
      <c r="BT532" s="77">
        <f t="shared" si="83"/>
        <v>0</v>
      </c>
      <c r="BU532" s="77">
        <f t="shared" si="83"/>
        <v>0</v>
      </c>
      <c r="BV532" s="77">
        <f t="shared" si="83"/>
        <v>0</v>
      </c>
    </row>
    <row r="533" spans="2:75" ht="15.75" customHeight="1" x14ac:dyDescent="0.3">
      <c r="B533" s="806" t="s">
        <v>1170</v>
      </c>
      <c r="C533" s="806"/>
      <c r="D533" s="806"/>
      <c r="E533" s="770">
        <f t="shared" si="82"/>
        <v>0</v>
      </c>
      <c r="F533" s="770"/>
      <c r="G533" s="925" t="s">
        <v>1941</v>
      </c>
      <c r="H533" s="925"/>
      <c r="I533" s="925"/>
      <c r="J533" s="925"/>
      <c r="K533" s="972"/>
      <c r="L533" s="973"/>
      <c r="M533" s="973"/>
      <c r="N533" s="973"/>
      <c r="O533" s="974"/>
      <c r="P533" s="1010"/>
      <c r="R533" s="129"/>
      <c r="S533" s="14"/>
      <c r="T533" s="96"/>
      <c r="U533" s="129"/>
      <c r="V533" s="10"/>
      <c r="W533" s="10"/>
      <c r="X533" s="10"/>
      <c r="Y533" s="10" t="s">
        <v>511</v>
      </c>
      <c r="AE533" s="10"/>
      <c r="AF533" s="10"/>
      <c r="AG533" s="10"/>
      <c r="AH533" s="10"/>
      <c r="AI533" s="10"/>
      <c r="AJ533" s="10"/>
      <c r="AK533" s="10" t="s">
        <v>1872</v>
      </c>
      <c r="AL533" s="34">
        <f>ROUND(AL532,2)</f>
        <v>0</v>
      </c>
      <c r="AM533" s="34">
        <f>ROUND(AM532,2)</f>
        <v>0</v>
      </c>
      <c r="AN533" s="34">
        <f t="shared" ref="AN533:BV533" si="84">ROUND(AN532,2)</f>
        <v>0</v>
      </c>
      <c r="AO533" s="34">
        <f t="shared" si="84"/>
        <v>0</v>
      </c>
      <c r="AP533" s="34">
        <f t="shared" si="84"/>
        <v>0</v>
      </c>
      <c r="AQ533" s="34">
        <f t="shared" si="84"/>
        <v>0</v>
      </c>
      <c r="AR533" s="34">
        <f t="shared" si="84"/>
        <v>0</v>
      </c>
      <c r="AS533" s="34">
        <f t="shared" si="84"/>
        <v>0</v>
      </c>
      <c r="AT533" s="34">
        <f t="shared" si="84"/>
        <v>0</v>
      </c>
      <c r="AU533" s="34">
        <f t="shared" si="84"/>
        <v>0</v>
      </c>
      <c r="AV533" s="34">
        <f t="shared" si="84"/>
        <v>0</v>
      </c>
      <c r="AW533" s="34">
        <f t="shared" si="84"/>
        <v>0</v>
      </c>
      <c r="AX533" s="34">
        <f t="shared" si="84"/>
        <v>0</v>
      </c>
      <c r="AY533" s="34">
        <f t="shared" si="84"/>
        <v>0</v>
      </c>
      <c r="AZ533" s="34">
        <f t="shared" si="84"/>
        <v>0</v>
      </c>
      <c r="BA533" s="34">
        <f t="shared" si="84"/>
        <v>0</v>
      </c>
      <c r="BB533" s="34">
        <f t="shared" si="84"/>
        <v>0</v>
      </c>
      <c r="BC533" s="34">
        <f t="shared" si="84"/>
        <v>0</v>
      </c>
      <c r="BD533" s="34">
        <f t="shared" si="84"/>
        <v>0</v>
      </c>
      <c r="BE533" s="34">
        <f t="shared" si="84"/>
        <v>0</v>
      </c>
      <c r="BF533" s="34">
        <f t="shared" si="84"/>
        <v>0</v>
      </c>
      <c r="BG533" s="34">
        <f t="shared" si="84"/>
        <v>0</v>
      </c>
      <c r="BH533" s="34">
        <f t="shared" si="84"/>
        <v>0</v>
      </c>
      <c r="BI533" s="34">
        <f t="shared" si="84"/>
        <v>0</v>
      </c>
      <c r="BJ533" s="34">
        <f t="shared" si="84"/>
        <v>0</v>
      </c>
      <c r="BK533" s="34">
        <f t="shared" si="84"/>
        <v>0</v>
      </c>
      <c r="BL533" s="34">
        <f t="shared" si="84"/>
        <v>0</v>
      </c>
      <c r="BM533" s="34">
        <f t="shared" si="84"/>
        <v>0</v>
      </c>
      <c r="BN533" s="34">
        <f t="shared" si="84"/>
        <v>0</v>
      </c>
      <c r="BO533" s="34">
        <f t="shared" si="84"/>
        <v>0</v>
      </c>
      <c r="BP533" s="34">
        <f t="shared" si="84"/>
        <v>0</v>
      </c>
      <c r="BQ533" s="34">
        <f t="shared" si="84"/>
        <v>0</v>
      </c>
      <c r="BR533" s="34">
        <f t="shared" si="84"/>
        <v>0</v>
      </c>
      <c r="BS533" s="34">
        <f t="shared" si="84"/>
        <v>0</v>
      </c>
      <c r="BT533" s="34">
        <f t="shared" si="84"/>
        <v>0</v>
      </c>
      <c r="BU533" s="34">
        <f t="shared" si="84"/>
        <v>0</v>
      </c>
      <c r="BV533" s="34">
        <f t="shared" si="84"/>
        <v>0</v>
      </c>
    </row>
    <row r="534" spans="2:75" ht="15" customHeight="1" x14ac:dyDescent="0.3">
      <c r="B534" s="776" t="s">
        <v>1171</v>
      </c>
      <c r="C534" s="806"/>
      <c r="D534" s="806"/>
      <c r="E534" s="770">
        <f>IF(E607&gt;0,0,P398)</f>
        <v>0</v>
      </c>
      <c r="F534" s="770"/>
      <c r="G534" s="1028"/>
      <c r="H534" s="1028"/>
      <c r="I534" s="936">
        <f t="shared" ref="I534:I539" si="85">IF(AND(Y534&lt;0.01,Y534&gt;0),0.01,ROUND(Y534,2))</f>
        <v>0</v>
      </c>
      <c r="J534" s="936"/>
      <c r="K534" s="972"/>
      <c r="L534" s="973"/>
      <c r="M534" s="973"/>
      <c r="N534" s="973"/>
      <c r="O534" s="974"/>
      <c r="P534" s="1010"/>
      <c r="R534" s="129"/>
      <c r="S534" s="14"/>
      <c r="T534" s="96"/>
      <c r="U534" s="129"/>
      <c r="W534" s="10"/>
      <c r="X534" s="10"/>
      <c r="Y534" s="294">
        <f>IF(AA534=1,0,E534*G534)</f>
        <v>0</v>
      </c>
      <c r="Z534" s="10"/>
      <c r="AA534" s="50">
        <f>IF(P592&gt;0,0,IF(AC395&gt;0,1,0))</f>
        <v>0</v>
      </c>
      <c r="AB534" s="806" t="s">
        <v>407</v>
      </c>
      <c r="AC534" s="806"/>
      <c r="AD534" s="806"/>
      <c r="AE534" s="10"/>
      <c r="AF534" s="10"/>
      <c r="AG534" s="10"/>
      <c r="AH534" s="10"/>
      <c r="AI534" s="10"/>
      <c r="AJ534" s="10"/>
      <c r="AK534" s="10"/>
      <c r="AL534" s="10"/>
      <c r="AM534" s="10"/>
      <c r="AN534" s="10"/>
      <c r="AO534" s="10"/>
      <c r="AP534" s="10"/>
      <c r="AQ534" s="10"/>
      <c r="AR534" s="10"/>
      <c r="AS534" s="10"/>
      <c r="AT534" s="10"/>
    </row>
    <row r="535" spans="2:75" ht="15" customHeight="1" x14ac:dyDescent="0.3">
      <c r="B535" s="806" t="s">
        <v>1172</v>
      </c>
      <c r="C535" s="806"/>
      <c r="D535" s="806"/>
      <c r="E535" s="770">
        <f>IF(E607&gt;0,0,P408)</f>
        <v>0</v>
      </c>
      <c r="F535" s="770"/>
      <c r="G535" s="1028"/>
      <c r="H535" s="1028"/>
      <c r="I535" s="936">
        <f t="shared" si="85"/>
        <v>0</v>
      </c>
      <c r="J535" s="936"/>
      <c r="K535" s="972"/>
      <c r="L535" s="973"/>
      <c r="M535" s="973"/>
      <c r="N535" s="973"/>
      <c r="O535" s="974"/>
      <c r="P535" s="1010"/>
      <c r="R535" s="129"/>
      <c r="S535" s="14"/>
      <c r="T535" s="96"/>
      <c r="U535" s="129"/>
      <c r="W535" s="39"/>
      <c r="X535" s="10"/>
      <c r="Y535" s="294">
        <f>IF(AA535=1,0,E535*G535)</f>
        <v>0</v>
      </c>
      <c r="Z535" s="73"/>
      <c r="AA535" s="50">
        <f>IF(P592&gt;0,0,IF(AC403&gt;0,1,0))</f>
        <v>0</v>
      </c>
      <c r="AB535" s="806" t="s">
        <v>408</v>
      </c>
      <c r="AC535" s="806"/>
      <c r="AD535" s="806"/>
      <c r="AE535" s="10"/>
      <c r="AF535" s="10"/>
      <c r="AG535" s="10"/>
      <c r="AH535" s="10"/>
      <c r="AI535" s="10"/>
      <c r="AJ535" s="10"/>
      <c r="AK535" s="10"/>
      <c r="AL535" s="10"/>
      <c r="AM535" s="10"/>
      <c r="AN535" s="10"/>
      <c r="AO535" s="10"/>
      <c r="AP535" s="10"/>
      <c r="AQ535" s="10"/>
      <c r="AR535" s="10"/>
      <c r="AS535" s="10"/>
      <c r="AT535" s="10"/>
    </row>
    <row r="536" spans="2:75" ht="15" customHeight="1" x14ac:dyDescent="0.3">
      <c r="B536" s="806" t="s">
        <v>1987</v>
      </c>
      <c r="C536" s="806"/>
      <c r="D536" s="806"/>
      <c r="E536" s="770">
        <f>P413</f>
        <v>0</v>
      </c>
      <c r="F536" s="770"/>
      <c r="G536" s="1028"/>
      <c r="H536" s="1028"/>
      <c r="I536" s="936">
        <f t="shared" si="85"/>
        <v>0</v>
      </c>
      <c r="J536" s="936"/>
      <c r="K536" s="972"/>
      <c r="L536" s="973"/>
      <c r="M536" s="973"/>
      <c r="N536" s="973"/>
      <c r="O536" s="974"/>
      <c r="P536" s="1010"/>
      <c r="R536" s="129"/>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row>
    <row r="537" spans="2:75" ht="15" customHeight="1" x14ac:dyDescent="0.3">
      <c r="B537" s="806" t="s">
        <v>1173</v>
      </c>
      <c r="C537" s="806"/>
      <c r="D537" s="806"/>
      <c r="E537" s="770">
        <f>P416</f>
        <v>0</v>
      </c>
      <c r="F537" s="770"/>
      <c r="G537" s="1028"/>
      <c r="H537" s="1028"/>
      <c r="I537" s="936">
        <f t="shared" si="85"/>
        <v>0</v>
      </c>
      <c r="J537" s="936"/>
      <c r="K537" s="972"/>
      <c r="L537" s="973"/>
      <c r="M537" s="973"/>
      <c r="N537" s="973"/>
      <c r="O537" s="974"/>
      <c r="P537" s="1010"/>
      <c r="R537" s="129"/>
      <c r="S537" s="14"/>
      <c r="T537" s="96"/>
      <c r="U537" s="129"/>
      <c r="W537" s="10"/>
      <c r="X537" s="10"/>
      <c r="Y537" s="294">
        <f t="shared" ref="Y537:Y539" si="86">E537*G537</f>
        <v>0</v>
      </c>
      <c r="Z537" s="604"/>
      <c r="AA537" s="171"/>
      <c r="AB537" s="171"/>
      <c r="AC537" s="171"/>
      <c r="AD537" s="171"/>
      <c r="AE537" s="10"/>
      <c r="AF537" s="10"/>
      <c r="AG537" s="10"/>
      <c r="AH537" s="10"/>
      <c r="AI537" s="10"/>
      <c r="AJ537" s="10"/>
      <c r="AK537" s="10"/>
      <c r="AL537" s="10"/>
      <c r="AM537" s="10"/>
      <c r="AN537" s="10"/>
      <c r="AO537" s="10"/>
      <c r="AP537" s="10"/>
      <c r="AQ537" s="10"/>
      <c r="AR537" s="10"/>
      <c r="AS537" s="10"/>
      <c r="AT537" s="10"/>
    </row>
    <row r="538" spans="2:75" ht="15" customHeight="1" x14ac:dyDescent="0.3">
      <c r="B538" s="806" t="s">
        <v>1174</v>
      </c>
      <c r="C538" s="806"/>
      <c r="D538" s="806"/>
      <c r="E538" s="770">
        <f>P419</f>
        <v>0</v>
      </c>
      <c r="F538" s="770"/>
      <c r="G538" s="1028"/>
      <c r="H538" s="1028"/>
      <c r="I538" s="936">
        <f t="shared" si="85"/>
        <v>0</v>
      </c>
      <c r="J538" s="936"/>
      <c r="K538" s="1006"/>
      <c r="L538" s="1007"/>
      <c r="M538" s="1007"/>
      <c r="N538" s="1007"/>
      <c r="O538" s="1008"/>
      <c r="P538" s="1010"/>
      <c r="R538" s="129"/>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row>
    <row r="539" spans="2:75" ht="15" customHeight="1" x14ac:dyDescent="0.3">
      <c r="B539" s="806" t="s">
        <v>1989</v>
      </c>
      <c r="C539" s="806"/>
      <c r="D539" s="806"/>
      <c r="E539" s="770">
        <f>P420</f>
        <v>0</v>
      </c>
      <c r="F539" s="770"/>
      <c r="G539" s="1150"/>
      <c r="H539" s="1151"/>
      <c r="I539" s="936">
        <f t="shared" si="85"/>
        <v>0</v>
      </c>
      <c r="J539" s="936"/>
      <c r="K539" s="1006"/>
      <c r="L539" s="1007"/>
      <c r="M539" s="1007"/>
      <c r="N539" s="1007"/>
      <c r="O539" s="1008"/>
      <c r="P539" s="1010"/>
      <c r="R539" s="129"/>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row>
    <row r="540" spans="2:75" ht="15" customHeight="1" x14ac:dyDescent="0.3">
      <c r="B540" s="776" t="s">
        <v>794</v>
      </c>
      <c r="C540" s="806"/>
      <c r="D540" s="806"/>
      <c r="E540" s="770">
        <f>P422</f>
        <v>0</v>
      </c>
      <c r="F540" s="770"/>
      <c r="G540" s="925" t="s">
        <v>1941</v>
      </c>
      <c r="H540" s="925"/>
      <c r="I540" s="925"/>
      <c r="J540" s="925"/>
      <c r="K540" s="1006"/>
      <c r="L540" s="1007"/>
      <c r="M540" s="1007"/>
      <c r="N540" s="1007"/>
      <c r="O540" s="1008"/>
      <c r="P540" s="1010"/>
      <c r="R540" s="129"/>
      <c r="S540" s="14"/>
      <c r="T540" s="96"/>
      <c r="U540" s="129"/>
      <c r="W540" s="10"/>
      <c r="X540" s="10"/>
      <c r="Y540" s="305"/>
      <c r="Z540" s="604"/>
      <c r="AD540" s="10"/>
      <c r="AF540" s="10"/>
      <c r="AG540" s="10"/>
      <c r="AH540" s="10"/>
      <c r="AI540" s="10"/>
      <c r="AJ540" s="10"/>
      <c r="AK540" s="10"/>
      <c r="AL540" s="10"/>
      <c r="AM540" s="10"/>
      <c r="AN540" s="10"/>
      <c r="AO540" s="10"/>
      <c r="AP540" s="10"/>
      <c r="AQ540" s="10"/>
      <c r="AR540" s="10"/>
      <c r="AS540" s="10"/>
      <c r="AT540" s="10"/>
    </row>
    <row r="541" spans="2:75" ht="15" customHeight="1" x14ac:dyDescent="0.3">
      <c r="B541" s="776" t="s">
        <v>795</v>
      </c>
      <c r="C541" s="806"/>
      <c r="D541" s="806"/>
      <c r="E541" s="770">
        <f>P423</f>
        <v>0</v>
      </c>
      <c r="F541" s="770"/>
      <c r="G541" s="925" t="s">
        <v>1941</v>
      </c>
      <c r="H541" s="925"/>
      <c r="I541" s="925"/>
      <c r="J541" s="925"/>
      <c r="K541" s="1006"/>
      <c r="L541" s="1007"/>
      <c r="M541" s="1007"/>
      <c r="N541" s="1007"/>
      <c r="O541" s="1008"/>
      <c r="P541" s="1010"/>
      <c r="R541" s="129"/>
      <c r="S541" s="14"/>
      <c r="T541" s="96"/>
      <c r="U541" s="129"/>
      <c r="V541" s="10"/>
      <c r="W541" s="10"/>
      <c r="X541" s="10"/>
      <c r="Y541" s="305"/>
      <c r="Z541" s="73"/>
      <c r="AD541" s="10"/>
      <c r="AF541" s="10"/>
      <c r="AG541" s="10"/>
      <c r="AH541" s="10"/>
      <c r="AI541" s="10"/>
      <c r="AJ541" s="10"/>
      <c r="AK541" s="10"/>
      <c r="AL541" s="10"/>
      <c r="AM541" s="10"/>
      <c r="AN541" s="10"/>
      <c r="AO541" s="10"/>
      <c r="AP541" s="10"/>
      <c r="AQ541" s="10"/>
      <c r="AR541" s="10"/>
      <c r="AS541" s="10"/>
      <c r="AT541" s="10"/>
    </row>
    <row r="542" spans="2:75" ht="15" customHeight="1" x14ac:dyDescent="0.3">
      <c r="B542" s="806" t="s">
        <v>632</v>
      </c>
      <c r="C542" s="806"/>
      <c r="D542" s="806"/>
      <c r="E542" s="770">
        <f>P426</f>
        <v>0</v>
      </c>
      <c r="F542" s="770"/>
      <c r="G542" s="925" t="s">
        <v>1941</v>
      </c>
      <c r="H542" s="925"/>
      <c r="I542" s="925"/>
      <c r="J542" s="925"/>
      <c r="K542" s="1006"/>
      <c r="L542" s="1007"/>
      <c r="M542" s="1007"/>
      <c r="N542" s="1007"/>
      <c r="O542" s="1008"/>
      <c r="P542" s="1010"/>
      <c r="R542" s="129"/>
      <c r="S542" s="14"/>
      <c r="T542" s="96"/>
      <c r="U542" s="129"/>
      <c r="V542" s="10"/>
      <c r="W542" s="10"/>
      <c r="X542" s="10"/>
      <c r="Y542" s="305"/>
      <c r="Z542" s="73"/>
      <c r="AD542" s="10"/>
      <c r="AE542" s="10"/>
      <c r="AF542" s="10"/>
      <c r="AG542" s="10"/>
      <c r="AH542" s="10"/>
      <c r="AI542" s="10"/>
      <c r="AJ542" s="10"/>
      <c r="AK542" s="10"/>
      <c r="AL542" s="10"/>
      <c r="AM542" s="10"/>
      <c r="AN542" s="10"/>
      <c r="AO542" s="10"/>
      <c r="AP542" s="10"/>
      <c r="AQ542" s="10"/>
      <c r="AR542" s="10"/>
      <c r="AS542" s="10"/>
      <c r="AT542" s="10"/>
    </row>
    <row r="543" spans="2:75" ht="15" customHeight="1" x14ac:dyDescent="0.3">
      <c r="B543" s="950" t="s">
        <v>1475</v>
      </c>
      <c r="C543" s="514">
        <f>H427</f>
        <v>0</v>
      </c>
      <c r="D543" s="514">
        <f>K427</f>
        <v>0</v>
      </c>
      <c r="E543" s="248">
        <f>M427</f>
        <v>0</v>
      </c>
      <c r="F543" s="248">
        <f>O427</f>
        <v>0</v>
      </c>
      <c r="G543" s="925" t="s">
        <v>1941</v>
      </c>
      <c r="H543" s="925"/>
      <c r="I543" s="925"/>
      <c r="J543" s="925"/>
      <c r="K543" s="1006"/>
      <c r="L543" s="1007"/>
      <c r="M543" s="1007"/>
      <c r="N543" s="1007"/>
      <c r="O543" s="1008"/>
      <c r="P543" s="1010"/>
      <c r="R543" s="129"/>
      <c r="S543" s="14"/>
      <c r="T543" s="96"/>
      <c r="U543" s="129"/>
      <c r="V543" s="10"/>
      <c r="W543" s="10"/>
      <c r="X543" s="10"/>
      <c r="Y543" s="305"/>
      <c r="Z543" s="10"/>
      <c r="AD543" s="10"/>
      <c r="AE543" s="10"/>
      <c r="AF543" s="10"/>
      <c r="AG543" s="10"/>
      <c r="AH543" s="10"/>
      <c r="AI543" s="10"/>
      <c r="AJ543" s="10"/>
      <c r="AK543" s="10"/>
      <c r="AL543" s="10"/>
      <c r="AM543" s="10"/>
      <c r="AN543" s="10"/>
      <c r="AO543" s="10"/>
      <c r="AP543" s="10"/>
      <c r="AQ543" s="10"/>
      <c r="AR543" s="10"/>
      <c r="AS543" s="10"/>
      <c r="AT543" s="10"/>
    </row>
    <row r="544" spans="2:75" ht="15" customHeight="1" x14ac:dyDescent="0.3">
      <c r="B544" s="1127"/>
      <c r="C544" s="248">
        <f>H428</f>
        <v>0</v>
      </c>
      <c r="D544" s="248">
        <f>K428</f>
        <v>0</v>
      </c>
      <c r="E544" s="248">
        <f>M428</f>
        <v>0</v>
      </c>
      <c r="F544" s="248">
        <f>O428</f>
        <v>0</v>
      </c>
      <c r="G544" s="925" t="s">
        <v>1941</v>
      </c>
      <c r="H544" s="925"/>
      <c r="I544" s="925"/>
      <c r="J544" s="925"/>
      <c r="K544" s="510"/>
      <c r="L544" s="511"/>
      <c r="M544" s="511"/>
      <c r="N544" s="511"/>
      <c r="O544" s="512"/>
      <c r="P544" s="1010"/>
      <c r="R544" s="129"/>
      <c r="S544" s="14"/>
      <c r="T544" s="96"/>
      <c r="U544" s="129"/>
      <c r="V544" s="10"/>
      <c r="W544" s="10"/>
      <c r="X544" s="10"/>
      <c r="Y544" s="305"/>
      <c r="Z544" s="10"/>
      <c r="AD544" s="10"/>
      <c r="AE544" s="10"/>
      <c r="AF544" s="10"/>
      <c r="AG544" s="10"/>
      <c r="AH544" s="10"/>
      <c r="AI544" s="10"/>
      <c r="AJ544" s="10"/>
      <c r="AK544" s="10"/>
      <c r="AL544" s="10"/>
      <c r="AM544" s="10"/>
      <c r="AN544" s="10"/>
      <c r="AO544" s="10"/>
      <c r="AP544" s="10"/>
      <c r="AQ544" s="10"/>
      <c r="AR544" s="10"/>
      <c r="AS544" s="10"/>
      <c r="AT544" s="10"/>
    </row>
    <row r="545" spans="1:46" ht="15" customHeight="1" x14ac:dyDescent="0.3">
      <c r="B545" s="950" t="s">
        <v>1476</v>
      </c>
      <c r="C545" s="514">
        <f>H429</f>
        <v>0</v>
      </c>
      <c r="D545" s="514">
        <f>K429</f>
        <v>0</v>
      </c>
      <c r="E545" s="248">
        <f>M429</f>
        <v>0</v>
      </c>
      <c r="F545" s="248">
        <f>O429</f>
        <v>0</v>
      </c>
      <c r="G545" s="925" t="s">
        <v>1941</v>
      </c>
      <c r="H545" s="925"/>
      <c r="I545" s="925"/>
      <c r="J545" s="925"/>
      <c r="K545" s="633"/>
      <c r="L545" s="634"/>
      <c r="M545" s="634"/>
      <c r="N545" s="634"/>
      <c r="O545" s="635"/>
      <c r="P545" s="1010"/>
      <c r="R545" s="129"/>
      <c r="S545" s="14"/>
      <c r="T545" s="96"/>
      <c r="U545" s="129"/>
      <c r="V545" s="10"/>
      <c r="W545" s="10"/>
      <c r="X545" s="10"/>
      <c r="Y545" s="305"/>
      <c r="Z545" s="10"/>
      <c r="AD545" s="10"/>
      <c r="AE545" s="10"/>
      <c r="AF545" s="10"/>
      <c r="AG545" s="10"/>
      <c r="AH545" s="10"/>
      <c r="AI545" s="10"/>
      <c r="AJ545" s="10"/>
      <c r="AK545" s="10"/>
      <c r="AL545" s="10"/>
      <c r="AM545" s="10"/>
      <c r="AN545" s="10"/>
      <c r="AO545" s="10"/>
      <c r="AP545" s="10"/>
      <c r="AQ545" s="10"/>
      <c r="AR545" s="10"/>
      <c r="AS545" s="10"/>
      <c r="AT545" s="10"/>
    </row>
    <row r="546" spans="1:46" ht="15" customHeight="1" x14ac:dyDescent="0.3">
      <c r="B546" s="1127"/>
      <c r="C546" s="248">
        <f>H430</f>
        <v>0</v>
      </c>
      <c r="D546" s="248">
        <f>K430</f>
        <v>0</v>
      </c>
      <c r="E546" s="248">
        <f>M430</f>
        <v>0</v>
      </c>
      <c r="F546" s="248">
        <f>O430</f>
        <v>0</v>
      </c>
      <c r="G546" s="925" t="s">
        <v>1941</v>
      </c>
      <c r="H546" s="925"/>
      <c r="I546" s="925"/>
      <c r="J546" s="925"/>
      <c r="K546" s="633"/>
      <c r="L546" s="634"/>
      <c r="M546" s="634"/>
      <c r="N546" s="634"/>
      <c r="O546" s="635"/>
      <c r="P546" s="1010"/>
      <c r="R546" s="129"/>
      <c r="S546" s="14"/>
      <c r="T546" s="96"/>
      <c r="U546" s="129"/>
      <c r="V546" s="10"/>
      <c r="W546" s="10"/>
      <c r="X546" s="10"/>
      <c r="Y546" s="305"/>
      <c r="Z546" s="10"/>
      <c r="AD546" s="10"/>
      <c r="AE546" s="10"/>
      <c r="AF546" s="10"/>
      <c r="AG546" s="10"/>
      <c r="AH546" s="10"/>
      <c r="AI546" s="10"/>
      <c r="AJ546" s="10"/>
      <c r="AK546" s="10"/>
      <c r="AL546" s="10"/>
      <c r="AM546" s="10"/>
      <c r="AN546" s="10"/>
      <c r="AO546" s="10"/>
      <c r="AP546" s="10"/>
      <c r="AQ546" s="10"/>
      <c r="AR546" s="10"/>
      <c r="AS546" s="10"/>
      <c r="AT546" s="10"/>
    </row>
    <row r="547" spans="1:46" ht="15.75" customHeight="1" x14ac:dyDescent="0.3">
      <c r="B547" s="806" t="s">
        <v>1477</v>
      </c>
      <c r="C547" s="806"/>
      <c r="D547" s="806"/>
      <c r="E547" s="770">
        <f>P431</f>
        <v>0</v>
      </c>
      <c r="F547" s="770"/>
      <c r="G547" s="925" t="s">
        <v>1941</v>
      </c>
      <c r="H547" s="925"/>
      <c r="I547" s="925"/>
      <c r="J547" s="925"/>
      <c r="K547" s="633"/>
      <c r="L547" s="634"/>
      <c r="M547" s="634"/>
      <c r="N547" s="634"/>
      <c r="O547" s="635"/>
      <c r="P547" s="1010"/>
      <c r="R547" s="129"/>
      <c r="S547" s="14"/>
      <c r="T547" s="96"/>
      <c r="U547" s="129"/>
      <c r="V547" s="10"/>
      <c r="W547" s="10"/>
      <c r="X547" s="10"/>
      <c r="Y547" s="305"/>
      <c r="Z547" s="10"/>
      <c r="AD547" s="10"/>
      <c r="AE547" s="10"/>
      <c r="AF547" s="10"/>
      <c r="AG547" s="10"/>
      <c r="AH547" s="10"/>
      <c r="AI547" s="10"/>
      <c r="AJ547" s="10"/>
      <c r="AK547" s="10"/>
      <c r="AL547" s="10"/>
      <c r="AM547" s="10"/>
      <c r="AN547" s="10"/>
      <c r="AO547" s="10"/>
      <c r="AP547" s="10"/>
      <c r="AQ547" s="10"/>
      <c r="AR547" s="10"/>
      <c r="AS547" s="10"/>
      <c r="AT547" s="10"/>
    </row>
    <row r="548" spans="1:46" ht="15.75" customHeight="1" x14ac:dyDescent="0.3">
      <c r="B548" s="757" t="s">
        <v>982</v>
      </c>
      <c r="C548" s="758"/>
      <c r="D548" s="759"/>
      <c r="E548" s="742">
        <f>P432</f>
        <v>0</v>
      </c>
      <c r="F548" s="744"/>
      <c r="G548" s="925" t="s">
        <v>1941</v>
      </c>
      <c r="H548" s="925"/>
      <c r="I548" s="925"/>
      <c r="J548" s="925"/>
      <c r="K548" s="1131" t="str">
        <f>IF(AND(OR(P398&gt;0,P408&gt;0,P508&gt;0,P514&gt;0),E607&gt;0),"A value has been granted for motor loss. Additional impairment values are not allowed for weakness, chronic condition, or reduced ROM in the same extremity.","")</f>
        <v/>
      </c>
      <c r="L548" s="1132"/>
      <c r="M548" s="1132"/>
      <c r="N548" s="1132"/>
      <c r="O548" s="1133"/>
      <c r="P548" s="1010"/>
      <c r="R548" s="129"/>
      <c r="S548" s="14"/>
      <c r="T548" s="96"/>
      <c r="U548" s="129"/>
      <c r="V548" s="10"/>
      <c r="W548" s="10"/>
      <c r="X548" s="10"/>
      <c r="Y548" s="305"/>
      <c r="Z548" s="10"/>
      <c r="AD548" s="10"/>
      <c r="AE548" s="10"/>
      <c r="AF548" s="10"/>
      <c r="AG548" s="10"/>
      <c r="AH548" s="10"/>
      <c r="AI548" s="10"/>
      <c r="AJ548" s="10"/>
      <c r="AK548" s="10"/>
      <c r="AL548" s="10"/>
      <c r="AM548" s="10"/>
      <c r="AN548" s="10"/>
      <c r="AO548" s="10"/>
      <c r="AP548" s="10"/>
      <c r="AQ548" s="10"/>
      <c r="AR548" s="10"/>
      <c r="AS548" s="10"/>
      <c r="AT548" s="10"/>
    </row>
    <row r="549" spans="1:46" ht="15.75" customHeight="1" x14ac:dyDescent="0.3">
      <c r="B549" s="806" t="s">
        <v>1446</v>
      </c>
      <c r="C549" s="806"/>
      <c r="D549" s="806"/>
      <c r="E549" s="770">
        <f>P436</f>
        <v>0</v>
      </c>
      <c r="F549" s="770"/>
      <c r="G549" s="1028"/>
      <c r="H549" s="1028"/>
      <c r="I549" s="936">
        <f t="shared" ref="I549:I552" si="87">IF(AND(Y549&lt;0.01,Y549&gt;0),0.01,ROUND(Y549,2))</f>
        <v>0</v>
      </c>
      <c r="J549" s="936"/>
      <c r="K549" s="1131"/>
      <c r="L549" s="1132"/>
      <c r="M549" s="1132"/>
      <c r="N549" s="1132"/>
      <c r="O549" s="1133"/>
      <c r="P549" s="1010"/>
      <c r="R549" s="129"/>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row>
    <row r="550" spans="1:46" ht="15.75" customHeight="1" x14ac:dyDescent="0.3">
      <c r="B550" s="806" t="s">
        <v>1253</v>
      </c>
      <c r="C550" s="806"/>
      <c r="D550" s="806"/>
      <c r="E550" s="770">
        <f>P440</f>
        <v>0</v>
      </c>
      <c r="F550" s="770"/>
      <c r="G550" s="1028"/>
      <c r="H550" s="1028"/>
      <c r="I550" s="936">
        <f t="shared" si="87"/>
        <v>0</v>
      </c>
      <c r="J550" s="936"/>
      <c r="K550" s="1131"/>
      <c r="L550" s="1132"/>
      <c r="M550" s="1132"/>
      <c r="N550" s="1132"/>
      <c r="O550" s="1133"/>
      <c r="P550" s="1010"/>
      <c r="R550" s="129"/>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row>
    <row r="551" spans="1:46" ht="15.75" customHeight="1" x14ac:dyDescent="0.3">
      <c r="B551" s="806" t="s">
        <v>1638</v>
      </c>
      <c r="C551" s="806"/>
      <c r="D551" s="806"/>
      <c r="E551" s="770">
        <f>IF(E607&gt;0,0,P508)</f>
        <v>0</v>
      </c>
      <c r="F551" s="770"/>
      <c r="G551" s="1028"/>
      <c r="H551" s="1028"/>
      <c r="I551" s="936">
        <f t="shared" si="87"/>
        <v>0</v>
      </c>
      <c r="J551" s="936"/>
      <c r="K551" s="1131"/>
      <c r="L551" s="1132"/>
      <c r="M551" s="1132"/>
      <c r="N551" s="1132"/>
      <c r="O551" s="1133"/>
      <c r="P551" s="1010"/>
      <c r="R551" s="129"/>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row>
    <row r="552" spans="1:46" ht="15.75" customHeight="1" x14ac:dyDescent="0.3">
      <c r="B552" s="806" t="s">
        <v>1478</v>
      </c>
      <c r="C552" s="806"/>
      <c r="D552" s="806"/>
      <c r="E552" s="770">
        <f>IF(E607&gt;0,0,P514)</f>
        <v>0</v>
      </c>
      <c r="F552" s="770"/>
      <c r="G552" s="1028"/>
      <c r="H552" s="1028"/>
      <c r="I552" s="936">
        <f t="shared" si="87"/>
        <v>0</v>
      </c>
      <c r="J552" s="936"/>
      <c r="K552" s="1131"/>
      <c r="L552" s="1132"/>
      <c r="M552" s="1132"/>
      <c r="N552" s="1132"/>
      <c r="O552" s="1133"/>
      <c r="P552" s="1010"/>
      <c r="R552" s="129"/>
      <c r="S552" s="14"/>
      <c r="T552" s="96"/>
      <c r="U552" s="129"/>
      <c r="V552" s="10"/>
      <c r="W552" s="10"/>
      <c r="X552" s="10"/>
      <c r="Y552" s="294">
        <f t="shared" si="88"/>
        <v>0</v>
      </c>
      <c r="Z552" s="10"/>
      <c r="AA552" s="10"/>
      <c r="AB552" s="10"/>
      <c r="AC552" s="10"/>
      <c r="AD552" s="10"/>
      <c r="AE552" s="10"/>
      <c r="AF552" s="10"/>
      <c r="AG552" s="10"/>
      <c r="AH552" s="10"/>
      <c r="AI552" s="10"/>
      <c r="AJ552" s="10"/>
      <c r="AK552" s="10"/>
      <c r="AL552" s="10"/>
      <c r="AM552" s="10"/>
      <c r="AN552" s="10"/>
      <c r="AO552" s="10"/>
      <c r="AP552" s="10"/>
      <c r="AQ552" s="10"/>
      <c r="AR552" s="10"/>
      <c r="AS552" s="10"/>
      <c r="AT552" s="10"/>
    </row>
    <row r="553" spans="1:46" ht="15.75" customHeight="1" x14ac:dyDescent="0.3">
      <c r="B553" s="804" t="s">
        <v>1479</v>
      </c>
      <c r="C553" s="804"/>
      <c r="D553" s="804"/>
      <c r="E553" s="872">
        <f>P518</f>
        <v>0</v>
      </c>
      <c r="F553" s="873"/>
      <c r="G553" s="845" t="s">
        <v>1941</v>
      </c>
      <c r="H553" s="845"/>
      <c r="I553" s="845"/>
      <c r="J553" s="845"/>
      <c r="K553" s="1147"/>
      <c r="L553" s="1148"/>
      <c r="M553" s="1148"/>
      <c r="N553" s="1148"/>
      <c r="O553" s="1149"/>
      <c r="P553" s="1010"/>
      <c r="R553" s="129"/>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row>
    <row r="554" spans="1:46" ht="15" customHeight="1" x14ac:dyDescent="0.3">
      <c r="B554" s="958" t="s">
        <v>1930</v>
      </c>
      <c r="C554" s="958"/>
      <c r="D554" s="958"/>
      <c r="E554" s="958"/>
      <c r="F554" s="958"/>
      <c r="G554" s="958"/>
      <c r="H554" s="958"/>
      <c r="I554" s="958"/>
      <c r="J554" s="958"/>
      <c r="K554" s="958"/>
      <c r="L554" s="958"/>
      <c r="M554" s="958"/>
      <c r="N554" s="958"/>
      <c r="O554" s="958"/>
      <c r="P554" s="996"/>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row>
    <row r="555" spans="1:46" ht="12" customHeight="1" x14ac:dyDescent="0.3">
      <c r="B555" s="792"/>
      <c r="C555" s="792"/>
      <c r="D555" s="792"/>
      <c r="E555" s="792"/>
      <c r="F555" s="792"/>
      <c r="G555" s="792"/>
      <c r="H555" s="792"/>
      <c r="I555" s="792"/>
      <c r="J555" s="792"/>
      <c r="K555" s="792"/>
      <c r="L555" s="792"/>
      <c r="M555" s="792"/>
      <c r="N555" s="792"/>
      <c r="O555" s="792"/>
      <c r="P555" s="1"/>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row>
    <row r="556" spans="1:46" ht="27" customHeight="1" thickBot="1" x14ac:dyDescent="0.35">
      <c r="B556" s="1158" t="s">
        <v>1119</v>
      </c>
      <c r="C556" s="1159"/>
      <c r="D556" s="1159"/>
      <c r="E556" s="1159"/>
      <c r="F556" s="1159"/>
      <c r="G556" s="1159"/>
      <c r="H556" s="1159"/>
      <c r="I556" s="1159"/>
      <c r="J556" s="1159"/>
      <c r="K556" s="1159"/>
      <c r="L556" s="1159"/>
      <c r="M556" s="1159"/>
      <c r="N556" s="1159"/>
      <c r="O556" s="1159"/>
      <c r="P556" s="306" t="s">
        <v>1065</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row>
    <row r="557" spans="1:46" ht="15" customHeight="1" x14ac:dyDescent="0.3">
      <c r="B557" s="1152" t="s">
        <v>1932</v>
      </c>
      <c r="C557" s="1153"/>
      <c r="D557" s="1153"/>
      <c r="E557" s="1153"/>
      <c r="F557" s="1153"/>
      <c r="G557" s="1153"/>
      <c r="H557" s="1153"/>
      <c r="I557" s="1153"/>
      <c r="J557" s="1153"/>
      <c r="K557" s="1153"/>
      <c r="L557" s="1153"/>
      <c r="M557" s="1153"/>
      <c r="N557" s="1153"/>
      <c r="O557" s="1153"/>
      <c r="P557" s="379"/>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row>
    <row r="558" spans="1:46" ht="19.5" customHeight="1" x14ac:dyDescent="0.3">
      <c r="A558" s="15"/>
      <c r="B558" s="1024"/>
      <c r="C558" s="1025"/>
      <c r="D558" s="1025"/>
      <c r="E558" s="1025"/>
      <c r="F558" s="1025"/>
      <c r="G558" s="1025"/>
      <c r="H558" s="1025"/>
      <c r="I558" s="1025"/>
      <c r="J558" s="1025"/>
      <c r="K558" s="1025"/>
      <c r="L558" s="1025"/>
      <c r="M558" s="1025"/>
      <c r="N558" s="1025"/>
      <c r="O558" s="1025"/>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row>
    <row r="559" spans="1:46" ht="9" customHeight="1" x14ac:dyDescent="0.3">
      <c r="B559" s="792"/>
      <c r="C559" s="792"/>
      <c r="D559" s="792"/>
      <c r="E559" s="792"/>
      <c r="F559" s="792"/>
      <c r="G559" s="792"/>
      <c r="H559" s="792"/>
      <c r="I559" s="792"/>
      <c r="J559" s="792"/>
      <c r="K559" s="792"/>
      <c r="L559" s="792"/>
      <c r="M559" s="792"/>
      <c r="N559" s="792"/>
      <c r="O559" s="792"/>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row>
    <row r="560" spans="1:46" ht="18" customHeight="1" x14ac:dyDescent="0.3">
      <c r="B560" s="925" t="s">
        <v>1594</v>
      </c>
      <c r="C560" s="925"/>
      <c r="D560" s="925"/>
      <c r="E560" s="925"/>
      <c r="F560" s="925"/>
      <c r="G560" s="925"/>
      <c r="H560" s="925"/>
      <c r="I560" s="925"/>
      <c r="J560" s="925"/>
      <c r="K560" s="925"/>
      <c r="L560" s="925"/>
      <c r="M560" s="925"/>
      <c r="N560" s="925"/>
      <c r="O560" s="940"/>
      <c r="P560" s="202"/>
      <c r="R560" s="10"/>
      <c r="S560" s="10"/>
      <c r="T560" s="922" t="s">
        <v>2188</v>
      </c>
      <c r="U560" s="923"/>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2:46" ht="27" customHeight="1" x14ac:dyDescent="0.3">
      <c r="B561" s="18" t="s">
        <v>1931</v>
      </c>
      <c r="C561" s="925" t="s">
        <v>1595</v>
      </c>
      <c r="D561" s="925"/>
      <c r="E561" s="925"/>
      <c r="F561" s="925"/>
      <c r="G561" s="927" t="s">
        <v>1081</v>
      </c>
      <c r="H561" s="927"/>
      <c r="I561" s="927"/>
      <c r="J561" s="927"/>
      <c r="K561" s="927"/>
      <c r="L561" s="927"/>
      <c r="M561" s="927"/>
      <c r="N561" s="927"/>
      <c r="O561" s="922"/>
      <c r="P561" s="204"/>
      <c r="R561" s="10"/>
      <c r="S561" s="50" t="s">
        <v>1654</v>
      </c>
      <c r="T561" s="128" t="s">
        <v>1595</v>
      </c>
      <c r="U561" s="128" t="s">
        <v>1596</v>
      </c>
      <c r="V561" s="940" t="s">
        <v>1083</v>
      </c>
      <c r="W561" s="941"/>
      <c r="X561" s="941"/>
      <c r="Y561" s="942"/>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2:46" ht="15" customHeight="1" x14ac:dyDescent="0.3">
      <c r="B562" s="147" t="s">
        <v>1512</v>
      </c>
      <c r="C562" s="1026"/>
      <c r="D562" s="1026"/>
      <c r="E562" s="948">
        <f>UETable!BF80</f>
        <v>0</v>
      </c>
      <c r="F562" s="948"/>
      <c r="G562" s="1026"/>
      <c r="H562" s="1026"/>
      <c r="I562" s="929">
        <f>IF(C562="",0,IF(OR(C562&lt;=0,G562&lt;=0),E562,IF(G562&lt;C562,0,UETable!BK80)))</f>
        <v>0</v>
      </c>
      <c r="J562" s="929"/>
      <c r="K562" s="946" t="str">
        <f>IF(OR(C562="NA",G562="NA"),"",IF(AND(C562&lt;&gt;"",G562=""),"Enter contralateral or NA.",IF(AND(C562="",G562&lt;&gt;""),"Need data","")))</f>
        <v/>
      </c>
      <c r="L562" s="946"/>
      <c r="M562" s="946"/>
      <c r="N562" s="946"/>
      <c r="O562" s="1073"/>
      <c r="P562" s="204"/>
      <c r="R562" s="10"/>
      <c r="S562" s="50">
        <v>150</v>
      </c>
      <c r="T562" s="50" t="str">
        <f t="shared" ref="T562:T569" si="89">IF(OR(C562="",C562="NA"),"",IF(C562&gt;S562,S562,IF(C562&lt;0,0,C562)))</f>
        <v/>
      </c>
      <c r="U562" s="50" t="str">
        <f>IF(OR(G562="",G562="NA"),"",IF(G562&gt;S562,S562,IF(G562&lt;0,0,G562)))</f>
        <v/>
      </c>
      <c r="V562" s="562" t="str">
        <f>IF(Y562="","",ROUND(Y562,0))</f>
        <v/>
      </c>
      <c r="W562" s="806" t="s">
        <v>1202</v>
      </c>
      <c r="X562" s="806"/>
      <c r="Y562" s="563" t="str">
        <f>IF(T562="","",IF(OR(U562="",U562=0,U562&lt;T562),T562,(T562*150)/U562))</f>
        <v/>
      </c>
      <c r="Z562" s="10"/>
      <c r="AA562" s="10"/>
      <c r="AB562" s="10"/>
      <c r="AC562" s="10"/>
      <c r="AD562" s="10"/>
      <c r="AE562" s="10"/>
      <c r="AF562" s="10"/>
      <c r="AG562" s="10"/>
      <c r="AH562" s="10"/>
      <c r="AN562" s="10"/>
      <c r="AO562" s="10"/>
      <c r="AP562" s="10"/>
      <c r="AQ562" s="10"/>
      <c r="AR562" s="10"/>
      <c r="AS562" s="10"/>
      <c r="AT562" s="10"/>
    </row>
    <row r="563" spans="2:46" ht="15" customHeight="1" x14ac:dyDescent="0.3">
      <c r="B563" s="147" t="s">
        <v>1203</v>
      </c>
      <c r="C563" s="1026"/>
      <c r="D563" s="1026"/>
      <c r="E563" s="948">
        <f>IF(AND(AJ569=1,AK569=1),"ERROR",UETable!BF81)</f>
        <v>0</v>
      </c>
      <c r="F563" s="948"/>
      <c r="G563" s="946" t="str">
        <f>IF(AND($AK$569=1,$AJ$569=1),"Cannot rate ROM and ankylosis.","")</f>
        <v/>
      </c>
      <c r="H563" s="946"/>
      <c r="I563" s="946"/>
      <c r="J563" s="946"/>
      <c r="K563" s="946"/>
      <c r="L563" s="946"/>
      <c r="M563" s="946"/>
      <c r="N563" s="946"/>
      <c r="O563" s="1073"/>
      <c r="P563" s="204"/>
      <c r="R563" s="10"/>
      <c r="S563" s="50">
        <v>150</v>
      </c>
      <c r="T563" s="5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row>
    <row r="564" spans="2:46" ht="15" customHeight="1" x14ac:dyDescent="0.3">
      <c r="B564" s="147" t="s">
        <v>1177</v>
      </c>
      <c r="C564" s="1026"/>
      <c r="D564" s="1026"/>
      <c r="E564" s="948">
        <f>UETable!BF82</f>
        <v>0</v>
      </c>
      <c r="F564" s="948"/>
      <c r="G564" s="1026"/>
      <c r="H564" s="1026"/>
      <c r="I564" s="929">
        <f>IF(C564="",0,IF(OR(C564&gt;=150,G564&gt;=150),E564,IF(G564&gt;C564,0,UETable!BK82)))</f>
        <v>0</v>
      </c>
      <c r="J564" s="929"/>
      <c r="K564" s="946" t="str">
        <f>IF(OR(C564="NA",G564="NA"),"",IF(AND(C564&lt;&gt;"",G564=""),"Enter contralateral or NA.",IF(AND(C564="",G564&lt;&gt;""),"Need data","")))</f>
        <v/>
      </c>
      <c r="L564" s="946"/>
      <c r="M564" s="946"/>
      <c r="N564" s="946"/>
      <c r="O564" s="1073"/>
      <c r="P564" s="204"/>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2:46" ht="15" customHeight="1" x14ac:dyDescent="0.3">
      <c r="B565" s="147" t="s">
        <v>1205</v>
      </c>
      <c r="C565" s="1026"/>
      <c r="D565" s="1026"/>
      <c r="E565" s="948">
        <f>IF(AND(AJ569=1,AK569=1),"ERROR",UETable!BF83)</f>
        <v>0</v>
      </c>
      <c r="F565" s="948"/>
      <c r="G565" s="946" t="str">
        <f>IF(AND($AK$569=1,$AJ$569=1),"Cannot rate ROM and ankylosis.","")</f>
        <v/>
      </c>
      <c r="H565" s="946"/>
      <c r="I565" s="946"/>
      <c r="J565" s="946"/>
      <c r="K565" s="946"/>
      <c r="L565" s="946"/>
      <c r="M565" s="946"/>
      <c r="N565" s="946"/>
      <c r="O565" s="1073"/>
      <c r="P565" s="204"/>
      <c r="R565" s="10"/>
      <c r="S565" s="50">
        <v>150</v>
      </c>
      <c r="T565" s="50" t="str">
        <f t="shared" si="89"/>
        <v/>
      </c>
      <c r="U565" s="10"/>
      <c r="V565" s="10"/>
      <c r="W565" s="10"/>
      <c r="X565" s="10"/>
      <c r="Y565" s="10"/>
      <c r="Z565" s="10"/>
      <c r="AA565" s="10"/>
      <c r="AB565" s="10"/>
      <c r="AC565" s="193">
        <f>MAX(E563,E565,E567,E569)</f>
        <v>0</v>
      </c>
      <c r="AD565" s="806" t="s">
        <v>1942</v>
      </c>
      <c r="AE565" s="806"/>
      <c r="AF565" s="806"/>
      <c r="AG565" s="806"/>
      <c r="AH565" s="10"/>
      <c r="AI565" s="776" t="s">
        <v>930</v>
      </c>
      <c r="AJ565" s="776" t="s">
        <v>692</v>
      </c>
      <c r="AK565" s="776" t="s">
        <v>693</v>
      </c>
      <c r="AL565" s="776" t="s">
        <v>895</v>
      </c>
      <c r="AM565" s="713"/>
      <c r="AN565" s="10"/>
      <c r="AO565" s="10"/>
      <c r="AP565" s="10"/>
      <c r="AQ565" s="10"/>
      <c r="AR565" s="10"/>
      <c r="AS565" s="10"/>
      <c r="AT565" s="10"/>
    </row>
    <row r="566" spans="2:46" ht="15" customHeight="1" x14ac:dyDescent="0.3">
      <c r="B566" s="146" t="s">
        <v>913</v>
      </c>
      <c r="C566" s="708"/>
      <c r="D566" s="708"/>
      <c r="E566" s="948">
        <f>UETable!BF84</f>
        <v>0</v>
      </c>
      <c r="F566" s="948"/>
      <c r="G566" s="1026"/>
      <c r="H566" s="1026"/>
      <c r="I566" s="929">
        <f>IF(C566="",0,IF(OR(C566&lt;=0,G566&lt;=0),E566,IF(G566&lt;C566,0,UETable!BK84)))</f>
        <v>0</v>
      </c>
      <c r="J566" s="929"/>
      <c r="K566" s="946" t="str">
        <f>IF(OR(C566="NA",G566="NA"),"",IF(AND(C566&lt;&gt;"",G566=""),"Enter contralateral or NA.",IF(AND(C566="",G566&lt;&gt;""),"Need data","")))</f>
        <v/>
      </c>
      <c r="L566" s="946"/>
      <c r="M566" s="946"/>
      <c r="N566" s="946"/>
      <c r="O566" s="1073"/>
      <c r="P566" s="204"/>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SUM(I562,I564,I566,I568,AC565)</f>
        <v>0</v>
      </c>
      <c r="AD566" s="806" t="s">
        <v>1176</v>
      </c>
      <c r="AE566" s="806"/>
      <c r="AF566" s="806"/>
      <c r="AG566" s="806"/>
      <c r="AH566" s="39"/>
      <c r="AI566" s="776"/>
      <c r="AJ566" s="776"/>
      <c r="AK566" s="776"/>
      <c r="AL566" s="776"/>
      <c r="AM566" s="713"/>
      <c r="AN566" s="10"/>
      <c r="AO566" s="10"/>
      <c r="AP566" s="10"/>
      <c r="AQ566" s="10"/>
      <c r="AR566" s="10"/>
      <c r="AS566" s="10"/>
      <c r="AT566" s="10"/>
    </row>
    <row r="567" spans="2:46" ht="15" customHeight="1" x14ac:dyDescent="0.3">
      <c r="B567" s="146" t="s">
        <v>931</v>
      </c>
      <c r="C567" s="708"/>
      <c r="D567" s="708"/>
      <c r="E567" s="948">
        <f>IF(AND(AJ569,AK569=1),"ERROR",UETable!BF85)</f>
        <v>0</v>
      </c>
      <c r="F567" s="948"/>
      <c r="G567" s="946" t="str">
        <f>IF(AND($AK$569=1,$AJ$569=1),"Cannot rate ROM and ankylosis.","")</f>
        <v/>
      </c>
      <c r="H567" s="946"/>
      <c r="I567" s="946"/>
      <c r="J567" s="946"/>
      <c r="K567" s="946"/>
      <c r="L567" s="946"/>
      <c r="M567" s="946"/>
      <c r="N567" s="946"/>
      <c r="O567" s="1073"/>
      <c r="P567" s="204"/>
      <c r="R567" s="10"/>
      <c r="S567" s="50">
        <v>80</v>
      </c>
      <c r="T567" s="50" t="str">
        <f t="shared" si="89"/>
        <v/>
      </c>
      <c r="U567" s="10"/>
      <c r="V567" s="10"/>
      <c r="W567" s="10"/>
      <c r="X567" s="10"/>
      <c r="Y567" s="10"/>
      <c r="Z567" s="10"/>
      <c r="AA567" s="10"/>
      <c r="AB567" s="10"/>
      <c r="AC567" s="10"/>
      <c r="AD567" s="10"/>
      <c r="AE567" s="10"/>
      <c r="AF567" s="10"/>
      <c r="AG567" s="10"/>
      <c r="AH567" s="39"/>
      <c r="AI567" s="776"/>
      <c r="AJ567" s="776"/>
      <c r="AK567" s="776"/>
      <c r="AL567" s="776"/>
      <c r="AM567" s="713"/>
      <c r="AN567" s="10"/>
      <c r="AO567" s="10"/>
      <c r="AP567" s="10"/>
      <c r="AQ567" s="10"/>
      <c r="AR567" s="10"/>
      <c r="AS567" s="10"/>
      <c r="AT567" s="10"/>
    </row>
    <row r="568" spans="2:46" ht="15" customHeight="1" x14ac:dyDescent="0.3">
      <c r="B568" s="146" t="s">
        <v>914</v>
      </c>
      <c r="C568" s="708"/>
      <c r="D568" s="708"/>
      <c r="E568" s="948">
        <f>UETable!BF86</f>
        <v>0</v>
      </c>
      <c r="F568" s="948"/>
      <c r="G568" s="1026"/>
      <c r="H568" s="1026"/>
      <c r="I568" s="929">
        <f>IF(C568="",0,IF(OR(C568&lt;=0,G568&lt;=0),E568,IF(G568&lt;C568,0,UETable!BK86)))</f>
        <v>0</v>
      </c>
      <c r="J568" s="929"/>
      <c r="K568" s="946" t="str">
        <f>IF(OR(C568="NA",G568="NA"),"",IF(AND(C568&lt;&gt;"",G568=""),"Enter contralateral or NA.",IF(AND(C568="",G568&lt;&gt;""),"Need data","")))</f>
        <v/>
      </c>
      <c r="L568" s="946"/>
      <c r="M568" s="946"/>
      <c r="N568" s="946"/>
      <c r="O568" s="1073"/>
      <c r="P568" s="204"/>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776"/>
      <c r="AJ568" s="776"/>
      <c r="AK568" s="776"/>
      <c r="AL568" s="776"/>
      <c r="AM568" s="713"/>
      <c r="AN568" s="10"/>
      <c r="AO568" s="10"/>
      <c r="AP568" s="10"/>
      <c r="AQ568" s="10"/>
      <c r="AR568" s="10"/>
      <c r="AS568" s="10"/>
      <c r="AT568" s="10"/>
    </row>
    <row r="569" spans="2:46" ht="15" customHeight="1" x14ac:dyDescent="0.3">
      <c r="B569" s="146" t="s">
        <v>932</v>
      </c>
      <c r="C569" s="708"/>
      <c r="D569" s="708"/>
      <c r="E569" s="948">
        <f>IF(AND(AJ569,AK569=1),"ERROR",UETable!BF87)</f>
        <v>0</v>
      </c>
      <c r="F569" s="948"/>
      <c r="G569" s="946" t="str">
        <f>IF(AND($AK$569=1,$AJ$569=1),"Cannot rate ROM and ankylosis.","")</f>
        <v/>
      </c>
      <c r="H569" s="946"/>
      <c r="I569" s="946"/>
      <c r="J569" s="946"/>
      <c r="K569" s="946"/>
      <c r="L569" s="946"/>
      <c r="M569" s="946"/>
      <c r="N569" s="946"/>
      <c r="O569" s="1073"/>
      <c r="P569" s="20"/>
      <c r="R569" s="10"/>
      <c r="S569" s="50">
        <v>80</v>
      </c>
      <c r="T569" s="50" t="str">
        <f t="shared" si="89"/>
        <v/>
      </c>
      <c r="U569" s="10"/>
      <c r="V569" s="925" t="s">
        <v>2189</v>
      </c>
      <c r="W569" s="925"/>
      <c r="X569" s="925"/>
      <c r="Y569" s="925"/>
      <c r="Z569" s="925"/>
      <c r="AA569" s="925"/>
      <c r="AB569" s="925"/>
      <c r="AC569" s="925"/>
      <c r="AF569" s="10"/>
      <c r="AH569" s="10"/>
      <c r="AI569" s="50">
        <f>SUM(W570,Y570,AA570,AC570)</f>
        <v>0</v>
      </c>
      <c r="AJ569" s="50">
        <f>IF(OR(V570=1,X570=1,Z570=1,AB570=1),1,0)</f>
        <v>0</v>
      </c>
      <c r="AK569" s="50">
        <f>IF(OR(W570=1,Y570=1,AA570=1,AC570=1),1,0)</f>
        <v>0</v>
      </c>
      <c r="AL569" s="50">
        <f>SUM(V570,X570,Z570,AB570)</f>
        <v>0</v>
      </c>
      <c r="AM569" s="10"/>
      <c r="AN569" s="10"/>
      <c r="AO569" s="10"/>
      <c r="AP569" s="10"/>
      <c r="AQ569" s="10"/>
      <c r="AR569" s="10"/>
      <c r="AS569" s="10"/>
      <c r="AT569" s="10"/>
    </row>
    <row r="570" spans="2:46" ht="15.75" customHeight="1" x14ac:dyDescent="0.3">
      <c r="B570" s="1157" t="str">
        <f>IF(AI569&gt;1,"Multiple ankylosis values; use highest value only.","")</f>
        <v/>
      </c>
      <c r="C570" s="1157"/>
      <c r="D570" s="1157"/>
      <c r="E570" s="1157"/>
      <c r="F570" s="1157"/>
      <c r="G570" s="1157"/>
      <c r="H570" s="1157"/>
      <c r="I570" s="1157"/>
      <c r="J570" s="1157"/>
      <c r="K570" s="1157"/>
      <c r="L570" s="1046" t="s">
        <v>201</v>
      </c>
      <c r="M570" s="1046"/>
      <c r="N570" s="1046"/>
      <c r="O570" s="1046"/>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D570" s="10"/>
      <c r="AE570" s="10"/>
      <c r="AF570" s="10"/>
      <c r="AG570" s="10"/>
      <c r="AH570" s="10"/>
      <c r="AI570" s="10"/>
      <c r="AJ570" s="10"/>
      <c r="AK570" s="10"/>
      <c r="AL570" s="10"/>
      <c r="AM570" s="10"/>
      <c r="AN570" s="10"/>
      <c r="AO570" s="10"/>
      <c r="AP570" s="10"/>
      <c r="AQ570" s="10"/>
      <c r="AR570" s="10"/>
      <c r="AS570" s="10"/>
      <c r="AT570" s="10"/>
    </row>
    <row r="571" spans="2:46" ht="6" customHeight="1" x14ac:dyDescent="0.3">
      <c r="B571" s="792"/>
      <c r="C571" s="792"/>
      <c r="D571" s="792"/>
      <c r="E571" s="792"/>
      <c r="F571" s="792"/>
      <c r="G571" s="792"/>
      <c r="H571" s="792"/>
      <c r="I571" s="792"/>
      <c r="J571" s="792"/>
      <c r="K571" s="792"/>
      <c r="L571" s="792"/>
      <c r="M571" s="792"/>
      <c r="N571" s="792"/>
      <c r="O571" s="792"/>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row>
    <row r="572" spans="2:46" ht="6" customHeight="1" x14ac:dyDescent="0.3">
      <c r="B572" s="792"/>
      <c r="C572" s="792"/>
      <c r="D572" s="792"/>
      <c r="E572" s="792"/>
      <c r="F572" s="792"/>
      <c r="G572" s="792"/>
      <c r="H572" s="792"/>
      <c r="I572" s="792"/>
      <c r="J572" s="792"/>
      <c r="K572" s="792"/>
      <c r="L572" s="792"/>
      <c r="M572" s="792"/>
      <c r="N572" s="792"/>
      <c r="O572" s="792"/>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2:46" ht="15" customHeight="1" x14ac:dyDescent="0.3">
      <c r="B573" s="771" t="s">
        <v>718</v>
      </c>
      <c r="C573" s="772"/>
      <c r="D573" s="773"/>
      <c r="E573" s="1018"/>
      <c r="F573" s="1018"/>
      <c r="G573" s="1018"/>
      <c r="H573" s="1018"/>
      <c r="I573" s="1018"/>
      <c r="J573" s="1018"/>
      <c r="K573" s="1018"/>
      <c r="L573" s="1018"/>
      <c r="M573" s="1018"/>
      <c r="N573" s="1018"/>
      <c r="O573" s="1018"/>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row>
    <row r="574" spans="2:46" ht="12" customHeight="1" x14ac:dyDescent="0.3">
      <c r="B574" s="792"/>
      <c r="C574" s="792"/>
      <c r="D574" s="792"/>
      <c r="E574" s="792"/>
      <c r="F574" s="792"/>
      <c r="G574" s="792"/>
      <c r="H574" s="792"/>
      <c r="I574" s="792"/>
      <c r="J574" s="792"/>
      <c r="K574" s="792"/>
      <c r="L574" s="792"/>
      <c r="M574" s="792"/>
      <c r="N574" s="792"/>
      <c r="O574" s="792"/>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row>
    <row r="575" spans="2:46" ht="16.5" customHeight="1" x14ac:dyDescent="0.3">
      <c r="B575" s="806" t="s">
        <v>724</v>
      </c>
      <c r="C575" s="806"/>
      <c r="D575" s="806"/>
      <c r="E575" s="806"/>
      <c r="F575" s="806"/>
      <c r="G575" s="806"/>
      <c r="H575" s="806"/>
      <c r="I575" s="806"/>
      <c r="J575" s="806"/>
      <c r="K575" s="745"/>
      <c r="L575" s="892"/>
      <c r="M575" s="892"/>
      <c r="N575" s="892"/>
      <c r="O575" s="835"/>
      <c r="P575" s="248">
        <f>IF(K575=S575,0.07,IF(K575=T575,0.14,IF(K575=U575,0.21,0)))</f>
        <v>0</v>
      </c>
      <c r="R575" s="14"/>
      <c r="S575" s="50" t="s">
        <v>725</v>
      </c>
      <c r="T575" s="50" t="s">
        <v>726</v>
      </c>
      <c r="U575" s="147" t="s">
        <v>727</v>
      </c>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row>
    <row r="576" spans="2:46" x14ac:dyDescent="0.3">
      <c r="B576" s="10"/>
      <c r="C576" s="10"/>
      <c r="D576" s="10"/>
      <c r="E576" s="10"/>
      <c r="F576" s="10"/>
      <c r="G576" s="10"/>
      <c r="H576" s="10"/>
      <c r="I576" s="10"/>
      <c r="J576" s="10"/>
      <c r="K576" s="10"/>
      <c r="L576" s="10"/>
      <c r="M576" s="10"/>
      <c r="N576" s="10"/>
      <c r="O576" s="10"/>
      <c r="P576" s="10"/>
      <c r="Q576" s="10"/>
      <c r="R576" s="10"/>
      <c r="S576" s="10"/>
      <c r="T576" s="10"/>
      <c r="U576" s="10"/>
      <c r="V576" s="10"/>
      <c r="W576" s="14"/>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row>
    <row r="577" spans="1:109" ht="18" customHeight="1" x14ac:dyDescent="0.3">
      <c r="A577" s="15"/>
      <c r="B577" s="771" t="s">
        <v>791</v>
      </c>
      <c r="C577" s="772"/>
      <c r="D577" s="772"/>
      <c r="E577" s="772"/>
      <c r="F577" s="773"/>
      <c r="G577" s="1023"/>
      <c r="H577" s="1023"/>
      <c r="I577" s="806" t="s">
        <v>205</v>
      </c>
      <c r="J577" s="806"/>
      <c r="K577" s="806"/>
      <c r="L577" s="806"/>
      <c r="M577" s="806"/>
      <c r="N577" s="806"/>
      <c r="O577" s="806"/>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3">
      <c r="B578" s="792"/>
      <c r="C578" s="792"/>
      <c r="D578" s="792"/>
      <c r="E578" s="792"/>
      <c r="F578" s="792"/>
      <c r="G578" s="792"/>
      <c r="H578" s="792"/>
      <c r="I578" s="792"/>
      <c r="J578" s="792"/>
      <c r="K578" s="792"/>
      <c r="L578" s="792"/>
      <c r="M578" s="792"/>
      <c r="N578" s="792"/>
      <c r="O578" s="792"/>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row>
    <row r="579" spans="1:109" ht="39" customHeight="1" x14ac:dyDescent="0.3">
      <c r="A579" s="15"/>
      <c r="B579" s="806" t="s">
        <v>1631</v>
      </c>
      <c r="C579" s="1023"/>
      <c r="D579" s="1023"/>
      <c r="E579" s="1023"/>
      <c r="F579" s="1023"/>
      <c r="G579" s="1023"/>
      <c r="H579" s="1023"/>
      <c r="I579" s="1023"/>
      <c r="J579" s="1023"/>
      <c r="K579" s="1023"/>
      <c r="L579" s="1023"/>
      <c r="M579" s="1023"/>
      <c r="N579" s="1023"/>
      <c r="O579" s="1023"/>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19.5" customHeight="1" x14ac:dyDescent="0.3">
      <c r="B580" s="806"/>
      <c r="C580" s="1023"/>
      <c r="D580" s="1023"/>
      <c r="E580" s="1023"/>
      <c r="F580" s="1023"/>
      <c r="G580" s="1023"/>
      <c r="H580" s="1023"/>
      <c r="I580" s="1023"/>
      <c r="J580" s="1023"/>
      <c r="K580" s="1023"/>
      <c r="L580" s="1023"/>
      <c r="M580" s="1023"/>
      <c r="N580" s="1023"/>
      <c r="O580" s="1023"/>
      <c r="P580" s="21">
        <f>IF(R580=2,0.35,0)</f>
        <v>0</v>
      </c>
      <c r="R580" s="555">
        <v>1</v>
      </c>
      <c r="S580" s="10"/>
      <c r="T580" s="10" t="s">
        <v>1632</v>
      </c>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9.5" customHeight="1" x14ac:dyDescent="0.3">
      <c r="B581" s="806"/>
      <c r="C581" s="1023"/>
      <c r="D581" s="1023"/>
      <c r="E581" s="1023"/>
      <c r="F581" s="1023"/>
      <c r="G581" s="1023"/>
      <c r="H581" s="1023"/>
      <c r="I581" s="1023"/>
      <c r="J581" s="1023"/>
      <c r="K581" s="1023"/>
      <c r="L581" s="1023"/>
      <c r="M581" s="1023"/>
      <c r="N581" s="1023"/>
      <c r="O581" s="1023"/>
      <c r="P581" s="21">
        <f>IF(R581=2,0.15,0)</f>
        <v>0</v>
      </c>
      <c r="R581" s="555">
        <v>1</v>
      </c>
      <c r="S581" s="10"/>
      <c r="T581" s="10" t="s">
        <v>1633</v>
      </c>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3">
      <c r="B582" s="792"/>
      <c r="C582" s="792"/>
      <c r="D582" s="792"/>
      <c r="E582" s="792"/>
      <c r="F582" s="792"/>
      <c r="G582" s="792"/>
      <c r="H582" s="792"/>
      <c r="I582" s="792"/>
      <c r="J582" s="792"/>
      <c r="K582" s="792"/>
      <c r="L582" s="792"/>
      <c r="M582" s="792"/>
      <c r="N582" s="792"/>
      <c r="O582" s="792"/>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5" customHeight="1" x14ac:dyDescent="0.3">
      <c r="B583" s="932" t="s">
        <v>472</v>
      </c>
      <c r="C583" s="932"/>
      <c r="D583" s="932"/>
      <c r="E583" s="932"/>
      <c r="F583" s="932"/>
      <c r="G583" s="932"/>
      <c r="H583" s="932"/>
      <c r="I583" s="932"/>
      <c r="J583" s="932"/>
      <c r="K583" s="932"/>
      <c r="L583" s="932"/>
      <c r="M583" s="932"/>
      <c r="N583" s="932"/>
      <c r="O583" s="317"/>
      <c r="P583" s="21">
        <f>SUMIF(S583:W583,O583,S584:W584)</f>
        <v>0</v>
      </c>
      <c r="R583" s="1139" t="s">
        <v>2215</v>
      </c>
      <c r="S583" s="50" t="s">
        <v>1968</v>
      </c>
      <c r="T583" s="50" t="s">
        <v>1969</v>
      </c>
      <c r="U583" s="147" t="s">
        <v>1971</v>
      </c>
      <c r="V583" s="50" t="s">
        <v>945</v>
      </c>
      <c r="W583" s="147" t="s">
        <v>558</v>
      </c>
      <c r="X583" s="1142" t="s">
        <v>2216</v>
      </c>
      <c r="Y583" s="1142"/>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3">
      <c r="B584" s="932" t="s">
        <v>1498</v>
      </c>
      <c r="C584" s="932"/>
      <c r="D584" s="932"/>
      <c r="E584" s="932"/>
      <c r="F584" s="932"/>
      <c r="G584" s="932"/>
      <c r="H584" s="932"/>
      <c r="I584" s="932"/>
      <c r="J584" s="932"/>
      <c r="K584" s="932"/>
      <c r="L584" s="932"/>
      <c r="M584" s="932"/>
      <c r="N584" s="932"/>
      <c r="O584" s="317"/>
      <c r="P584" s="21">
        <f>SUMIF(Z583:AD583,O584,Z584:AD584)</f>
        <v>0</v>
      </c>
      <c r="R584" s="1139"/>
      <c r="S584" s="147">
        <v>0.03</v>
      </c>
      <c r="T584" s="147">
        <v>0.15</v>
      </c>
      <c r="U584" s="147">
        <v>0.38</v>
      </c>
      <c r="V584" s="147">
        <v>0.68</v>
      </c>
      <c r="W584" s="147">
        <v>0.9</v>
      </c>
      <c r="X584" s="1142"/>
      <c r="Y584" s="1142"/>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3">
      <c r="B585" s="792"/>
      <c r="C585" s="792"/>
      <c r="D585" s="792"/>
      <c r="E585" s="792"/>
      <c r="F585" s="792"/>
      <c r="G585" s="792"/>
      <c r="H585" s="792"/>
      <c r="I585" s="792"/>
      <c r="J585" s="792"/>
      <c r="K585" s="792"/>
      <c r="L585" s="792"/>
      <c r="M585" s="792"/>
      <c r="N585" s="792"/>
      <c r="O585" s="792"/>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row>
    <row r="586" spans="1:109" ht="18" customHeight="1" x14ac:dyDescent="0.3">
      <c r="B586" s="927" t="s">
        <v>473</v>
      </c>
      <c r="C586" s="925"/>
      <c r="D586" s="925"/>
      <c r="E586" s="925"/>
      <c r="F586" s="925"/>
      <c r="G586" s="925"/>
      <c r="H586" s="925"/>
      <c r="I586" s="925"/>
      <c r="J586" s="925"/>
      <c r="K586" s="925"/>
      <c r="L586" s="925"/>
      <c r="M586" s="925"/>
      <c r="N586" s="925"/>
      <c r="O586" s="925"/>
      <c r="P586" s="925"/>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8.25" customHeight="1" x14ac:dyDescent="0.3">
      <c r="B587" s="776" t="s">
        <v>1679</v>
      </c>
      <c r="C587" s="776"/>
      <c r="D587" s="776"/>
      <c r="E587" s="776"/>
      <c r="F587" s="776"/>
      <c r="G587" s="776"/>
      <c r="H587" s="776"/>
      <c r="I587" s="776"/>
      <c r="J587" s="776"/>
      <c r="K587" s="776"/>
      <c r="L587" s="776"/>
      <c r="M587" s="776"/>
      <c r="N587" s="776"/>
      <c r="O587" s="776"/>
      <c r="P587" s="925"/>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3">
      <c r="A588" s="15"/>
      <c r="B588" s="806" t="s">
        <v>948</v>
      </c>
      <c r="C588" s="806"/>
      <c r="D588" s="806"/>
      <c r="E588" s="806"/>
      <c r="F588" s="806"/>
      <c r="G588" s="806"/>
      <c r="H588" s="806"/>
      <c r="I588" s="806"/>
      <c r="J588" s="806"/>
      <c r="K588" s="806"/>
      <c r="L588" s="1023"/>
      <c r="M588" s="1023"/>
      <c r="N588" s="1023"/>
      <c r="O588" s="1023"/>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2" customHeight="1" x14ac:dyDescent="0.3">
      <c r="B589" s="792"/>
      <c r="C589" s="792"/>
      <c r="D589" s="792"/>
      <c r="E589" s="792"/>
      <c r="F589" s="792"/>
      <c r="G589" s="792"/>
      <c r="H589" s="792"/>
      <c r="I589" s="792"/>
      <c r="J589" s="792"/>
      <c r="K589" s="792"/>
      <c r="L589" s="792"/>
      <c r="M589" s="792"/>
      <c r="N589" s="792"/>
      <c r="O589" s="792"/>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8" customHeight="1" x14ac:dyDescent="0.3">
      <c r="B590" s="927" t="s">
        <v>1113</v>
      </c>
      <c r="C590" s="925"/>
      <c r="D590" s="925"/>
      <c r="E590" s="925"/>
      <c r="F590" s="925"/>
      <c r="G590" s="925"/>
      <c r="H590" s="925"/>
      <c r="I590" s="925"/>
      <c r="J590" s="925"/>
      <c r="K590" s="925"/>
      <c r="L590" s="925"/>
      <c r="M590" s="925"/>
      <c r="N590" s="925"/>
      <c r="O590" s="925"/>
      <c r="P590" s="845"/>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30" customHeight="1" x14ac:dyDescent="0.3">
      <c r="B591" s="776" t="s">
        <v>1645</v>
      </c>
      <c r="C591" s="776"/>
      <c r="D591" s="776"/>
      <c r="E591" s="776"/>
      <c r="F591" s="776"/>
      <c r="G591" s="776"/>
      <c r="H591" s="776"/>
      <c r="I591" s="776"/>
      <c r="J591" s="776"/>
      <c r="K591" s="776"/>
      <c r="L591" s="776"/>
      <c r="M591" s="776"/>
      <c r="N591" s="776"/>
      <c r="O591" s="776"/>
      <c r="P591" s="847"/>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row>
    <row r="592" spans="1:109" ht="28.5" customHeight="1" x14ac:dyDescent="0.3">
      <c r="B592" s="1014"/>
      <c r="C592" s="1014"/>
      <c r="D592" s="1014"/>
      <c r="E592" s="1014"/>
      <c r="F592" s="1014"/>
      <c r="G592" s="1014"/>
      <c r="H592" s="1014"/>
      <c r="I592" s="1014"/>
      <c r="J592" s="1014"/>
      <c r="K592" s="1014"/>
      <c r="L592" s="1014"/>
      <c r="M592" s="1014"/>
      <c r="N592" s="1014"/>
      <c r="O592" s="1014"/>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row>
    <row r="593" spans="2:46" ht="12" customHeight="1" x14ac:dyDescent="0.3">
      <c r="B593" s="792"/>
      <c r="C593" s="792"/>
      <c r="D593" s="792"/>
      <c r="E593" s="792"/>
      <c r="F593" s="792"/>
      <c r="G593" s="792"/>
      <c r="H593" s="792"/>
      <c r="I593" s="792"/>
      <c r="J593" s="792"/>
      <c r="K593" s="792"/>
      <c r="L593" s="792"/>
      <c r="M593" s="792"/>
      <c r="N593" s="792"/>
      <c r="O593" s="792"/>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2:46" ht="27" customHeight="1" x14ac:dyDescent="0.3">
      <c r="B594" s="1030" t="s">
        <v>389</v>
      </c>
      <c r="C594" s="1031"/>
      <c r="D594" s="1031"/>
      <c r="E594" s="1031"/>
      <c r="F594" s="1032"/>
      <c r="G594" s="922" t="s">
        <v>64</v>
      </c>
      <c r="H594" s="926"/>
      <c r="I594" s="926"/>
      <c r="J594" s="923"/>
      <c r="K594" s="1003" t="str">
        <f>IF(AND(G596&gt;0,AA597=1),"Ankylosis cannot be apportioned.","")</f>
        <v/>
      </c>
      <c r="L594" s="1004"/>
      <c r="M594" s="1004"/>
      <c r="N594" s="1004"/>
      <c r="O594" s="1005"/>
      <c r="P594" s="872">
        <f>IF(I609&gt;0,I609,U607)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row>
    <row r="595" spans="2:46" ht="15.75" customHeight="1" x14ac:dyDescent="0.3">
      <c r="B595" s="791" t="s">
        <v>628</v>
      </c>
      <c r="C595" s="791"/>
      <c r="D595" s="791"/>
      <c r="E595" s="996">
        <f>P558</f>
        <v>0</v>
      </c>
      <c r="F595" s="996"/>
      <c r="G595" s="925" t="s">
        <v>1941</v>
      </c>
      <c r="H595" s="925"/>
      <c r="I595" s="1029"/>
      <c r="J595" s="1029"/>
      <c r="K595" s="1006"/>
      <c r="L595" s="1007"/>
      <c r="M595" s="1007"/>
      <c r="N595" s="1007"/>
      <c r="O595" s="1008"/>
      <c r="P595" s="1010"/>
      <c r="R595" s="557">
        <f t="shared" ref="R595:R602" si="90">E595</f>
        <v>0</v>
      </c>
      <c r="S595" s="147">
        <f>LARGE($R$595:$R$608,1)</f>
        <v>0</v>
      </c>
      <c r="T595" s="553">
        <f>S595+S596*(1-S595)</f>
        <v>0</v>
      </c>
      <c r="U595" s="557">
        <f t="shared" ref="U595:U607" si="91">ROUND(T595,2)</f>
        <v>0</v>
      </c>
      <c r="Y595" s="10" t="s">
        <v>511</v>
      </c>
      <c r="AD595" s="10"/>
      <c r="AE595" s="10"/>
      <c r="AF595" s="10"/>
      <c r="AG595" s="10"/>
      <c r="AH595" s="10"/>
      <c r="AI595" s="10"/>
      <c r="AJ595" s="10"/>
      <c r="AK595" s="10"/>
      <c r="AL595" s="10"/>
      <c r="AM595" s="10"/>
      <c r="AN595" s="10"/>
      <c r="AO595" s="10"/>
      <c r="AP595" s="10"/>
      <c r="AQ595" s="10"/>
      <c r="AR595" s="10"/>
      <c r="AS595" s="10"/>
      <c r="AT595" s="10"/>
    </row>
    <row r="596" spans="2:46" ht="15" customHeight="1" x14ac:dyDescent="0.3">
      <c r="B596" s="806" t="s">
        <v>1958</v>
      </c>
      <c r="C596" s="806"/>
      <c r="D596" s="806"/>
      <c r="E596" s="770">
        <f>IF(E607&gt;0,0,P570)</f>
        <v>0</v>
      </c>
      <c r="F596" s="770"/>
      <c r="G596" s="1028"/>
      <c r="H596" s="1028"/>
      <c r="I596" s="936">
        <f>IF(AND(Y596&lt;0.01,Y596&gt;0),0.01,ROUND(Y596,2))</f>
        <v>0</v>
      </c>
      <c r="J596" s="936"/>
      <c r="K596" s="1006"/>
      <c r="L596" s="1007"/>
      <c r="M596" s="1007"/>
      <c r="N596" s="1007"/>
      <c r="O596" s="1008"/>
      <c r="P596" s="1010"/>
      <c r="R596" s="557">
        <f>IF(I596&gt;0,I596,E596)</f>
        <v>0</v>
      </c>
      <c r="S596" s="147">
        <f>LARGE($R$595:$R$608,2)</f>
        <v>0</v>
      </c>
      <c r="T596" s="553">
        <f>U595+S597*(1-U595)</f>
        <v>0</v>
      </c>
      <c r="U596" s="557">
        <f t="shared" si="91"/>
        <v>0</v>
      </c>
      <c r="Y596" s="191">
        <f>IF(AA597&gt;0,0,E596*G596)</f>
        <v>0</v>
      </c>
      <c r="Z596" s="604"/>
      <c r="AD596" s="10"/>
      <c r="AE596" s="10"/>
      <c r="AF596" s="10"/>
      <c r="AG596" s="10"/>
      <c r="AH596" s="10"/>
      <c r="AI596" s="10"/>
      <c r="AJ596" s="10"/>
      <c r="AK596" s="10"/>
      <c r="AL596" s="10"/>
      <c r="AM596" s="10"/>
      <c r="AN596" s="10"/>
      <c r="AO596" s="10"/>
      <c r="AP596" s="10"/>
      <c r="AQ596" s="10"/>
      <c r="AR596" s="10"/>
      <c r="AS596" s="10"/>
      <c r="AT596" s="10"/>
    </row>
    <row r="597" spans="2:46" ht="15" customHeight="1" x14ac:dyDescent="0.3">
      <c r="B597" s="806" t="s">
        <v>718</v>
      </c>
      <c r="C597" s="806"/>
      <c r="D597" s="806"/>
      <c r="E597" s="770">
        <f>P573</f>
        <v>0</v>
      </c>
      <c r="F597" s="770"/>
      <c r="G597" s="925" t="s">
        <v>1941</v>
      </c>
      <c r="H597" s="925"/>
      <c r="I597" s="1029"/>
      <c r="J597" s="1029"/>
      <c r="K597" s="1128"/>
      <c r="L597" s="1129"/>
      <c r="M597" s="1129"/>
      <c r="N597" s="1129"/>
      <c r="O597" s="1130"/>
      <c r="P597" s="1010"/>
      <c r="R597" s="557">
        <f t="shared" si="90"/>
        <v>0</v>
      </c>
      <c r="S597" s="147">
        <f>LARGE($R$595:$R$608,3)</f>
        <v>0</v>
      </c>
      <c r="T597" s="553">
        <f>U596+S598*(1-U596)</f>
        <v>0</v>
      </c>
      <c r="U597" s="557">
        <f t="shared" si="91"/>
        <v>0</v>
      </c>
      <c r="Y597" s="192"/>
      <c r="Z597" s="604"/>
      <c r="AA597" s="50">
        <f>IF(P592&gt;0,0,IF(AC565&gt;0,1,0))</f>
        <v>0</v>
      </c>
      <c r="AB597" s="806" t="s">
        <v>814</v>
      </c>
      <c r="AC597" s="806"/>
      <c r="AD597" s="10"/>
      <c r="AE597" s="10"/>
      <c r="AF597" s="10"/>
      <c r="AG597" s="10"/>
      <c r="AH597" s="10"/>
      <c r="AI597" s="10"/>
      <c r="AJ597" s="10"/>
      <c r="AK597" s="10"/>
      <c r="AL597" s="10"/>
      <c r="AM597" s="10"/>
      <c r="AN597" s="10"/>
      <c r="AO597" s="10"/>
      <c r="AP597" s="10"/>
      <c r="AQ597" s="10"/>
      <c r="AR597" s="10"/>
      <c r="AS597" s="10"/>
      <c r="AT597" s="10"/>
    </row>
    <row r="598" spans="2:46" ht="15" customHeight="1" x14ac:dyDescent="0.3">
      <c r="B598" s="806" t="s">
        <v>390</v>
      </c>
      <c r="C598" s="806"/>
      <c r="D598" s="806"/>
      <c r="E598" s="770">
        <f>P575</f>
        <v>0</v>
      </c>
      <c r="F598" s="770"/>
      <c r="G598" s="925" t="s">
        <v>1941</v>
      </c>
      <c r="H598" s="925"/>
      <c r="I598" s="1029"/>
      <c r="J598" s="1029"/>
      <c r="K598" s="1128"/>
      <c r="L598" s="1129"/>
      <c r="M598" s="1129"/>
      <c r="N598" s="1129"/>
      <c r="O598" s="1130"/>
      <c r="P598" s="1010"/>
      <c r="R598" s="557">
        <f t="shared" si="90"/>
        <v>0</v>
      </c>
      <c r="S598" s="147">
        <f>LARGE($R$595:$R$608,4)</f>
        <v>0</v>
      </c>
      <c r="T598" s="553">
        <f t="shared" ref="T598:T607" si="92">U597+S599*(1-U597)</f>
        <v>0</v>
      </c>
      <c r="U598" s="557">
        <f t="shared" si="91"/>
        <v>0</v>
      </c>
      <c r="V598" s="10"/>
      <c r="W598" s="10"/>
      <c r="X598" s="10"/>
      <c r="Y598" s="192"/>
      <c r="Z598" s="604"/>
      <c r="AD598" s="10"/>
      <c r="AE598" s="10"/>
      <c r="AF598" s="10"/>
      <c r="AG598" s="10"/>
      <c r="AH598" s="10"/>
      <c r="AI598" s="10"/>
      <c r="AJ598" s="10"/>
      <c r="AK598" s="10"/>
      <c r="AL598" s="10"/>
      <c r="AM598" s="10"/>
      <c r="AN598" s="10"/>
      <c r="AO598" s="10"/>
      <c r="AP598" s="10"/>
      <c r="AQ598" s="10"/>
      <c r="AR598" s="10"/>
      <c r="AS598" s="10"/>
      <c r="AT598" s="10"/>
    </row>
    <row r="599" spans="2:46" ht="15" customHeight="1" x14ac:dyDescent="0.3">
      <c r="B599" s="776" t="s">
        <v>796</v>
      </c>
      <c r="C599" s="806"/>
      <c r="D599" s="806"/>
      <c r="E599" s="742">
        <f>P577</f>
        <v>0</v>
      </c>
      <c r="F599" s="744"/>
      <c r="G599" s="925" t="s">
        <v>1941</v>
      </c>
      <c r="H599" s="925"/>
      <c r="I599" s="1029"/>
      <c r="J599" s="1029"/>
      <c r="K599" s="1128"/>
      <c r="L599" s="1129"/>
      <c r="M599" s="1129"/>
      <c r="N599" s="1129"/>
      <c r="O599" s="1130"/>
      <c r="P599" s="1010"/>
      <c r="R599" s="557">
        <f t="shared" si="90"/>
        <v>0</v>
      </c>
      <c r="S599" s="147">
        <f>LARGE($R$595:$R$608,5)</f>
        <v>0</v>
      </c>
      <c r="T599" s="553">
        <f t="shared" si="92"/>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row>
    <row r="600" spans="2:46" ht="15" customHeight="1" x14ac:dyDescent="0.3">
      <c r="B600" s="806" t="s">
        <v>391</v>
      </c>
      <c r="C600" s="806"/>
      <c r="D600" s="806"/>
      <c r="E600" s="770">
        <f>P579</f>
        <v>0</v>
      </c>
      <c r="F600" s="770"/>
      <c r="G600" s="925" t="s">
        <v>1941</v>
      </c>
      <c r="H600" s="925"/>
      <c r="I600" s="1029"/>
      <c r="J600" s="1029"/>
      <c r="K600" s="1128"/>
      <c r="L600" s="1129"/>
      <c r="M600" s="1129"/>
      <c r="N600" s="1129"/>
      <c r="O600" s="1130"/>
      <c r="P600" s="1010"/>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row>
    <row r="601" spans="2:46" ht="15" customHeight="1" x14ac:dyDescent="0.3">
      <c r="B601" s="806" t="s">
        <v>392</v>
      </c>
      <c r="C601" s="806"/>
      <c r="D601" s="806"/>
      <c r="E601" s="770">
        <f>P580</f>
        <v>0</v>
      </c>
      <c r="F601" s="770"/>
      <c r="G601" s="925" t="s">
        <v>1941</v>
      </c>
      <c r="H601" s="925"/>
      <c r="I601" s="1029"/>
      <c r="J601" s="1029"/>
      <c r="K601" s="1128"/>
      <c r="L601" s="1129"/>
      <c r="M601" s="1129"/>
      <c r="N601" s="1129"/>
      <c r="O601" s="1130"/>
      <c r="P601" s="1010"/>
      <c r="R601" s="557">
        <f t="shared" si="90"/>
        <v>0</v>
      </c>
      <c r="S601" s="147">
        <f>LARGE($R$595:$R$608,7)</f>
        <v>0</v>
      </c>
      <c r="T601" s="553">
        <f t="shared" si="92"/>
        <v>0</v>
      </c>
      <c r="U601" s="557">
        <f t="shared" si="91"/>
        <v>0</v>
      </c>
      <c r="W601" s="10"/>
      <c r="X601" s="10"/>
      <c r="Y601" s="192"/>
      <c r="Z601" s="10"/>
      <c r="AD601" s="10"/>
      <c r="AE601" s="10"/>
      <c r="AF601" s="10"/>
      <c r="AG601" s="10"/>
      <c r="AH601" s="10"/>
      <c r="AI601" s="10"/>
      <c r="AJ601" s="10"/>
      <c r="AK601" s="10"/>
      <c r="AL601" s="10"/>
      <c r="AM601" s="10"/>
      <c r="AN601" s="10"/>
      <c r="AO601" s="10"/>
      <c r="AP601" s="10"/>
      <c r="AQ601" s="10"/>
      <c r="AR601" s="10"/>
      <c r="AS601" s="10"/>
      <c r="AT601" s="10"/>
    </row>
    <row r="602" spans="2:46" ht="15" customHeight="1" x14ac:dyDescent="0.3">
      <c r="B602" s="806" t="s">
        <v>393</v>
      </c>
      <c r="C602" s="806"/>
      <c r="D602" s="806"/>
      <c r="E602" s="770">
        <f>P581</f>
        <v>0</v>
      </c>
      <c r="F602" s="770"/>
      <c r="G602" s="925" t="s">
        <v>1941</v>
      </c>
      <c r="H602" s="925"/>
      <c r="I602" s="1029"/>
      <c r="J602" s="1029"/>
      <c r="K602" s="633"/>
      <c r="L602" s="634"/>
      <c r="M602" s="634"/>
      <c r="N602" s="634"/>
      <c r="O602" s="635"/>
      <c r="P602" s="1010"/>
      <c r="R602" s="557">
        <f t="shared" si="90"/>
        <v>0</v>
      </c>
      <c r="S602" s="147">
        <f>LARGE($R$595:$R$608,8)</f>
        <v>0</v>
      </c>
      <c r="T602" s="553">
        <f t="shared" si="92"/>
        <v>0</v>
      </c>
      <c r="U602" s="557">
        <f t="shared" si="91"/>
        <v>0</v>
      </c>
      <c r="W602" s="10"/>
      <c r="X602" s="10"/>
      <c r="Y602" s="192"/>
      <c r="Z602" s="10"/>
      <c r="AD602" s="10"/>
      <c r="AE602" s="10"/>
      <c r="AF602" s="10"/>
      <c r="AG602" s="10"/>
      <c r="AH602" s="10"/>
      <c r="AI602" s="10"/>
      <c r="AJ602" s="10"/>
      <c r="AK602" s="10"/>
      <c r="AL602" s="10"/>
      <c r="AM602" s="10"/>
      <c r="AN602" s="10"/>
      <c r="AO602" s="10"/>
      <c r="AP602" s="10"/>
      <c r="AQ602" s="10"/>
      <c r="AR602" s="10"/>
      <c r="AS602" s="10"/>
      <c r="AT602" s="10"/>
    </row>
    <row r="603" spans="2:46" ht="15.75" customHeight="1" x14ac:dyDescent="0.3">
      <c r="B603" s="806" t="s">
        <v>1029</v>
      </c>
      <c r="C603" s="806"/>
      <c r="D603" s="806"/>
      <c r="E603" s="770">
        <f>P583</f>
        <v>0</v>
      </c>
      <c r="F603" s="770"/>
      <c r="G603" s="1028"/>
      <c r="H603" s="1028"/>
      <c r="I603" s="936">
        <f t="shared" ref="I603:I607" si="93">IF(AND(Y603&lt;0.01,Y603&gt;0),0.01,ROUND(Y603,2))</f>
        <v>0</v>
      </c>
      <c r="J603" s="936"/>
      <c r="K603" s="972" t="str">
        <f>IF(AND(OR(P570&gt;0,P510&gt;0,P588&gt;0),E607&gt;0),"A value has been granted for motor loss. Additional impairment values are not allowed for weakness, chronic condition, or reduced range of motion in the same extremity.","")</f>
        <v/>
      </c>
      <c r="L603" s="973"/>
      <c r="M603" s="973"/>
      <c r="N603" s="973"/>
      <c r="O603" s="974"/>
      <c r="P603" s="1010"/>
      <c r="R603" s="557">
        <f t="shared" ref="R603:R608" si="94">IF(I603&gt;0,I603,E603)</f>
        <v>0</v>
      </c>
      <c r="S603" s="147">
        <f>LARGE($R$595:$R$608,9)</f>
        <v>0</v>
      </c>
      <c r="T603" s="553">
        <f t="shared" si="92"/>
        <v>0</v>
      </c>
      <c r="U603" s="557">
        <f t="shared" si="91"/>
        <v>0</v>
      </c>
      <c r="V603" s="10"/>
      <c r="W603" s="10"/>
      <c r="X603" s="10"/>
      <c r="Y603" s="191">
        <f>E603*G603</f>
        <v>0</v>
      </c>
      <c r="Z603" s="10"/>
      <c r="AD603" s="10"/>
      <c r="AE603" s="10"/>
      <c r="AF603" s="10"/>
      <c r="AG603" s="10"/>
      <c r="AH603" s="10"/>
      <c r="AI603" s="10"/>
      <c r="AJ603" s="10"/>
      <c r="AK603" s="10"/>
      <c r="AL603" s="10"/>
      <c r="AM603" s="10"/>
      <c r="AN603" s="10"/>
      <c r="AO603" s="10"/>
      <c r="AP603" s="10"/>
      <c r="AQ603" s="10"/>
      <c r="AR603" s="10"/>
      <c r="AS603" s="10"/>
      <c r="AT603" s="10"/>
    </row>
    <row r="604" spans="2:46" ht="15.75" customHeight="1" x14ac:dyDescent="0.3">
      <c r="B604" s="806" t="s">
        <v>1253</v>
      </c>
      <c r="C604" s="806"/>
      <c r="D604" s="806"/>
      <c r="E604" s="770">
        <f>P584</f>
        <v>0</v>
      </c>
      <c r="F604" s="770"/>
      <c r="G604" s="1028"/>
      <c r="H604" s="1028"/>
      <c r="I604" s="936">
        <f t="shared" si="93"/>
        <v>0</v>
      </c>
      <c r="J604" s="936"/>
      <c r="K604" s="972"/>
      <c r="L604" s="973"/>
      <c r="M604" s="973"/>
      <c r="N604" s="973"/>
      <c r="O604" s="974"/>
      <c r="P604" s="1010"/>
      <c r="R604" s="557">
        <f t="shared" si="94"/>
        <v>0</v>
      </c>
      <c r="S604" s="147">
        <f>LARGE($R$595:$R$608,10)</f>
        <v>0</v>
      </c>
      <c r="T604" s="553">
        <f t="shared" si="92"/>
        <v>0</v>
      </c>
      <c r="U604" s="557">
        <f t="shared" si="91"/>
        <v>0</v>
      </c>
      <c r="V604" s="10"/>
      <c r="W604" s="10"/>
      <c r="X604" s="10"/>
      <c r="Y604" s="191">
        <f t="shared" ref="Y604:Y607" si="95">E604*G604</f>
        <v>0</v>
      </c>
      <c r="Z604" s="10"/>
      <c r="AD604" s="10"/>
      <c r="AE604" s="10"/>
      <c r="AF604" s="10"/>
      <c r="AG604" s="10"/>
      <c r="AH604" s="10"/>
      <c r="AI604" s="10"/>
      <c r="AJ604" s="10"/>
      <c r="AK604" s="10"/>
      <c r="AL604" s="10"/>
      <c r="AM604" s="10"/>
      <c r="AN604" s="10"/>
      <c r="AO604" s="10"/>
      <c r="AP604" s="10"/>
      <c r="AQ604" s="10"/>
      <c r="AR604" s="10"/>
      <c r="AS604" s="10"/>
      <c r="AT604" s="10"/>
    </row>
    <row r="605" spans="2:46" ht="15.75" customHeight="1" x14ac:dyDescent="0.3">
      <c r="B605" s="806" t="s">
        <v>1638</v>
      </c>
      <c r="C605" s="806"/>
      <c r="D605" s="806"/>
      <c r="E605" s="770">
        <f>IF(E607&gt;0,0,P510)</f>
        <v>0</v>
      </c>
      <c r="F605" s="770"/>
      <c r="G605" s="1028"/>
      <c r="H605" s="1028"/>
      <c r="I605" s="936">
        <f t="shared" si="93"/>
        <v>0</v>
      </c>
      <c r="J605" s="936"/>
      <c r="K605" s="972"/>
      <c r="L605" s="973"/>
      <c r="M605" s="973"/>
      <c r="N605" s="973"/>
      <c r="O605" s="974"/>
      <c r="P605" s="1010"/>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row>
    <row r="606" spans="2:46" ht="15" customHeight="1" x14ac:dyDescent="0.3">
      <c r="B606" s="806" t="s">
        <v>596</v>
      </c>
      <c r="C606" s="806"/>
      <c r="D606" s="806"/>
      <c r="E606" s="770">
        <f>IF(E607&gt;0,0,P588)</f>
        <v>0</v>
      </c>
      <c r="F606" s="770"/>
      <c r="G606" s="1028"/>
      <c r="H606" s="1028"/>
      <c r="I606" s="936">
        <f t="shared" si="93"/>
        <v>0</v>
      </c>
      <c r="J606" s="936"/>
      <c r="K606" s="972"/>
      <c r="L606" s="973"/>
      <c r="M606" s="973"/>
      <c r="N606" s="973"/>
      <c r="O606" s="974"/>
      <c r="P606" s="1010"/>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row>
    <row r="607" spans="2:46" ht="15" customHeight="1" x14ac:dyDescent="0.3">
      <c r="B607" s="806" t="s">
        <v>926</v>
      </c>
      <c r="C607" s="806"/>
      <c r="D607" s="806"/>
      <c r="E607" s="770">
        <f>P592</f>
        <v>0</v>
      </c>
      <c r="F607" s="746"/>
      <c r="G607" s="1028"/>
      <c r="H607" s="1028"/>
      <c r="I607" s="936">
        <f t="shared" si="93"/>
        <v>0</v>
      </c>
      <c r="J607" s="936"/>
      <c r="K607" s="972"/>
      <c r="L607" s="973"/>
      <c r="M607" s="973"/>
      <c r="N607" s="973"/>
      <c r="O607" s="974"/>
      <c r="P607" s="1010"/>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2:46" ht="15" customHeight="1" x14ac:dyDescent="0.3">
      <c r="B608" s="1048" t="s">
        <v>797</v>
      </c>
      <c r="C608" s="1048"/>
      <c r="D608" s="1048"/>
      <c r="E608" s="872">
        <f>IF(SUM(E595:E607)&gt;0,UETable!BF97,0)</f>
        <v>0</v>
      </c>
      <c r="F608" s="873"/>
      <c r="G608" s="845" t="s">
        <v>1941</v>
      </c>
      <c r="H608" s="845"/>
      <c r="I608" s="1160"/>
      <c r="J608" s="1160"/>
      <c r="K608" s="972"/>
      <c r="L608" s="973"/>
      <c r="M608" s="973"/>
      <c r="N608" s="973"/>
      <c r="O608" s="974"/>
      <c r="P608" s="1010"/>
      <c r="R608" s="557">
        <f t="shared" si="94"/>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3">
      <c r="B609" s="958" t="s">
        <v>1030</v>
      </c>
      <c r="C609" s="958"/>
      <c r="D609" s="958"/>
      <c r="E609" s="958"/>
      <c r="F609" s="958"/>
      <c r="G609" s="958"/>
      <c r="H609" s="958"/>
      <c r="I609" s="958"/>
      <c r="J609" s="958"/>
      <c r="K609" s="958"/>
      <c r="L609" s="958"/>
      <c r="M609" s="958"/>
      <c r="N609" s="958"/>
      <c r="O609" s="958"/>
      <c r="P609" s="996"/>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row>
    <row r="610" spans="2:46" ht="6" customHeight="1" x14ac:dyDescent="0.3">
      <c r="B610" s="1"/>
      <c r="D610" s="1"/>
      <c r="E610" s="1"/>
      <c r="F610" s="1"/>
      <c r="G610" s="1"/>
      <c r="H610" s="1"/>
      <c r="I610" s="1"/>
      <c r="J610" s="1"/>
      <c r="K610" s="1"/>
      <c r="L610" s="1"/>
      <c r="M610" s="1"/>
      <c r="N610" s="1"/>
      <c r="O610" s="1"/>
      <c r="P610" s="1"/>
      <c r="R610" s="10"/>
      <c r="S610" s="10"/>
      <c r="T610" s="10"/>
      <c r="U610" s="10"/>
      <c r="V610" s="10"/>
      <c r="W610" s="10"/>
      <c r="X610" s="10"/>
      <c r="Y610" s="229"/>
      <c r="Z610" s="10"/>
      <c r="AA610" s="10"/>
      <c r="AB610" s="10"/>
      <c r="AC610" s="10"/>
      <c r="AD610" s="10"/>
      <c r="AE610" s="10"/>
      <c r="AF610" s="10"/>
      <c r="AG610" s="10"/>
      <c r="AH610" s="10"/>
      <c r="AI610" s="10"/>
      <c r="AJ610" s="10"/>
      <c r="AK610" s="10"/>
      <c r="AL610" s="10"/>
      <c r="AM610" s="10"/>
      <c r="AN610" s="10"/>
      <c r="AO610" s="10"/>
      <c r="AP610" s="10"/>
      <c r="AQ610" s="10"/>
      <c r="AR610" s="10"/>
      <c r="AS610" s="10"/>
      <c r="AT610" s="10"/>
    </row>
    <row r="611" spans="2:46" ht="6" customHeight="1" x14ac:dyDescent="0.3">
      <c r="B611" s="1"/>
      <c r="D611" s="1"/>
      <c r="E611" s="1"/>
      <c r="F611" s="1"/>
      <c r="G611" s="1"/>
      <c r="H611" s="1"/>
      <c r="I611" s="1"/>
      <c r="J611" s="1"/>
      <c r="K611" s="1"/>
      <c r="L611" s="1"/>
      <c r="M611" s="1"/>
      <c r="N611" s="1"/>
      <c r="O611" s="1"/>
      <c r="P611" s="1"/>
      <c r="R611" s="10"/>
      <c r="S611" s="10"/>
      <c r="T611" s="10"/>
      <c r="U611" s="10"/>
      <c r="V611" s="10"/>
      <c r="W611" s="10"/>
      <c r="X611" s="10"/>
      <c r="Y611" s="229"/>
      <c r="Z611" s="10"/>
      <c r="AA611" s="10"/>
      <c r="AB611" s="10"/>
      <c r="AC611" s="10"/>
      <c r="AD611" s="10"/>
      <c r="AE611" s="10"/>
      <c r="AF611" s="10"/>
      <c r="AG611" s="10"/>
      <c r="AH611" s="10"/>
      <c r="AI611" s="10"/>
      <c r="AJ611" s="10"/>
      <c r="AK611" s="10"/>
      <c r="AL611" s="10"/>
      <c r="AM611" s="10"/>
      <c r="AN611" s="10"/>
      <c r="AO611" s="10"/>
      <c r="AP611" s="10"/>
      <c r="AQ611" s="10"/>
      <c r="AR611" s="10"/>
      <c r="AS611" s="10"/>
      <c r="AT611" s="10"/>
    </row>
    <row r="612" spans="2:46" ht="36" customHeight="1" x14ac:dyDescent="0.3">
      <c r="B612" s="922" t="s">
        <v>576</v>
      </c>
      <c r="C612" s="941"/>
      <c r="D612" s="941"/>
      <c r="E612" s="941"/>
      <c r="F612" s="941"/>
      <c r="G612" s="941"/>
      <c r="H612" s="941"/>
      <c r="I612" s="941"/>
      <c r="J612" s="941"/>
      <c r="K612" s="941"/>
      <c r="L612" s="941"/>
      <c r="M612" s="941"/>
      <c r="N612" s="941"/>
      <c r="O612" s="941"/>
      <c r="P612" s="942"/>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row>
    <row r="613" spans="2:46" ht="12" customHeight="1" x14ac:dyDescent="0.3">
      <c r="B613" s="712"/>
      <c r="C613" s="712"/>
      <c r="D613" s="712"/>
      <c r="E613" s="712"/>
      <c r="F613" s="712"/>
      <c r="G613" s="712"/>
      <c r="H613" s="712"/>
      <c r="I613" s="712"/>
      <c r="J613" s="712"/>
      <c r="K613" s="712"/>
      <c r="L613" s="712"/>
      <c r="M613" s="712"/>
      <c r="N613" s="712"/>
      <c r="O613" s="712"/>
      <c r="P613" s="712"/>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30.75" customHeight="1" x14ac:dyDescent="0.3">
      <c r="B614" s="776" t="s">
        <v>409</v>
      </c>
      <c r="C614" s="776"/>
      <c r="D614" s="776"/>
      <c r="E614" s="776"/>
      <c r="F614" s="776"/>
      <c r="G614" s="776"/>
      <c r="H614" s="776"/>
      <c r="I614" s="776"/>
      <c r="J614" s="776"/>
      <c r="K614" s="776"/>
      <c r="L614" s="776"/>
      <c r="M614" s="950"/>
      <c r="N614" s="950"/>
      <c r="O614" s="950"/>
      <c r="P614" s="95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37.5" customHeight="1" x14ac:dyDescent="0.3">
      <c r="B615" s="146"/>
      <c r="C615" s="927" t="s">
        <v>1795</v>
      </c>
      <c r="D615" s="925"/>
      <c r="E615" s="146"/>
      <c r="F615" s="922" t="s">
        <v>1276</v>
      </c>
      <c r="G615" s="923"/>
      <c r="H615" s="30"/>
      <c r="I615" s="925" t="s">
        <v>1795</v>
      </c>
      <c r="J615" s="925"/>
      <c r="K615" s="925"/>
      <c r="L615" s="925"/>
      <c r="M615" s="927" t="s">
        <v>1737</v>
      </c>
      <c r="N615" s="927"/>
      <c r="O615" s="927"/>
      <c r="P615" s="927"/>
      <c r="R615" s="10"/>
      <c r="S615" s="50" t="s">
        <v>1736</v>
      </c>
      <c r="T615" s="50" t="s">
        <v>1306</v>
      </c>
      <c r="U615" s="259"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8" customHeight="1" x14ac:dyDescent="0.3">
      <c r="B616" s="146" t="s">
        <v>942</v>
      </c>
      <c r="C616" s="770">
        <f>P60</f>
        <v>0</v>
      </c>
      <c r="D616" s="746"/>
      <c r="E616" s="18" t="s">
        <v>1790</v>
      </c>
      <c r="F616" s="1027">
        <v>0.15</v>
      </c>
      <c r="G616" s="1027"/>
      <c r="H616" s="18" t="s">
        <v>1792</v>
      </c>
      <c r="I616" s="936">
        <f>IF(C626&lt;R1,"DOI&lt;2005",IF($P$518&gt;0,0,T616))</f>
        <v>0</v>
      </c>
      <c r="J616" s="936"/>
      <c r="K616" s="936"/>
      <c r="L616" s="936"/>
      <c r="M616" s="1046" t="str">
        <f>IF(C616=0,"",IF($P$518&gt;0,"Converted",""))</f>
        <v/>
      </c>
      <c r="N616" s="1046"/>
      <c r="O616" s="1046"/>
      <c r="P616" s="1046"/>
      <c r="R616" s="10"/>
      <c r="S616" s="590">
        <f>IF(AND(C616*F616&gt;0,C616*F616&lt;0.01),0.01,C616*F616)</f>
        <v>0</v>
      </c>
      <c r="T616" s="147">
        <f t="shared" ref="T616:T622" si="96">ROUND(S616,2)</f>
        <v>0</v>
      </c>
      <c r="U616" s="147">
        <f>SUM(E528:F552)</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8" customHeight="1" x14ac:dyDescent="0.3">
      <c r="B617" s="146" t="s">
        <v>1415</v>
      </c>
      <c r="C617" s="770">
        <f>P137</f>
        <v>0</v>
      </c>
      <c r="D617" s="746"/>
      <c r="E617" s="18" t="s">
        <v>1790</v>
      </c>
      <c r="F617" s="1027">
        <v>0.08</v>
      </c>
      <c r="G617" s="1027"/>
      <c r="H617" s="18" t="s">
        <v>1792</v>
      </c>
      <c r="I617" s="936">
        <f>IF(C626&lt;R1,"DOI&lt;2005",IF($P$518&gt;0,0,T617))</f>
        <v>0</v>
      </c>
      <c r="J617" s="936"/>
      <c r="K617" s="936"/>
      <c r="L617" s="936"/>
      <c r="M617" s="1046" t="str">
        <f>IF(C617=0,"",IF($P$518&gt;0,"Converted",""))</f>
        <v/>
      </c>
      <c r="N617" s="1046"/>
      <c r="O617" s="1046"/>
      <c r="P617" s="1046"/>
      <c r="R617" s="10"/>
      <c r="S617" s="590">
        <f t="shared" ref="S617:S622" si="97">IF(AND(C617*F617&gt;0,C617*F617&lt;0.01),0.01,C617*F617)</f>
        <v>0</v>
      </c>
      <c r="T617" s="147">
        <f t="shared" si="96"/>
        <v>0</v>
      </c>
      <c r="U617" s="147">
        <f>SUM(E595:F607)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18" customHeight="1" x14ac:dyDescent="0.3">
      <c r="B618" s="146" t="s">
        <v>584</v>
      </c>
      <c r="C618" s="770">
        <f>P214</f>
        <v>0</v>
      </c>
      <c r="D618" s="746"/>
      <c r="E618" s="18" t="s">
        <v>1790</v>
      </c>
      <c r="F618" s="1027">
        <v>7.0000000000000007E-2</v>
      </c>
      <c r="G618" s="1027"/>
      <c r="H618" s="18" t="s">
        <v>1792</v>
      </c>
      <c r="I618" s="936">
        <f>IF(C626&lt;R1,"DOI&lt;2005",IF($P$518&gt;0,0,T618))</f>
        <v>0</v>
      </c>
      <c r="J618" s="936"/>
      <c r="K618" s="936"/>
      <c r="L618" s="936"/>
      <c r="M618" s="1046" t="str">
        <f>IF(C618=0,"",IF($P$518&gt;0,"Converted",""))</f>
        <v/>
      </c>
      <c r="N618" s="1046"/>
      <c r="O618" s="1046"/>
      <c r="P618" s="1046"/>
      <c r="R618" s="10"/>
      <c r="S618" s="590">
        <f t="shared" si="97"/>
        <v>0</v>
      </c>
      <c r="T618" s="147">
        <f t="shared" si="96"/>
        <v>0</v>
      </c>
      <c r="U618" s="585">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18" customHeight="1" x14ac:dyDescent="0.3">
      <c r="B619" s="146" t="s">
        <v>1453</v>
      </c>
      <c r="C619" s="770">
        <f>P289</f>
        <v>0</v>
      </c>
      <c r="D619" s="746"/>
      <c r="E619" s="18" t="s">
        <v>1790</v>
      </c>
      <c r="F619" s="1027">
        <v>0.03</v>
      </c>
      <c r="G619" s="1027"/>
      <c r="H619" s="18" t="s">
        <v>1792</v>
      </c>
      <c r="I619" s="936">
        <f>IF(C626&lt;R1,"DOI&lt;2005",IF($P$518&gt;0,0,T619))</f>
        <v>0</v>
      </c>
      <c r="J619" s="936"/>
      <c r="K619" s="936"/>
      <c r="L619" s="936"/>
      <c r="M619" s="1046" t="str">
        <f>IF(C619=0,"",IF($P$518&gt;0,"Converted",""))</f>
        <v/>
      </c>
      <c r="N619" s="1046"/>
      <c r="O619" s="1046"/>
      <c r="P619" s="1046"/>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18" customHeight="1" x14ac:dyDescent="0.3">
      <c r="B620" s="146" t="s">
        <v>1666</v>
      </c>
      <c r="C620" s="770">
        <f>P364</f>
        <v>0</v>
      </c>
      <c r="D620" s="746"/>
      <c r="E620" s="18" t="s">
        <v>1790</v>
      </c>
      <c r="F620" s="1027">
        <v>0.02</v>
      </c>
      <c r="G620" s="1027"/>
      <c r="H620" s="18" t="s">
        <v>1792</v>
      </c>
      <c r="I620" s="936">
        <f>IF(C626&lt;R1,"DOI&lt;2005",IF($P$518&gt;0,0,T620))</f>
        <v>0</v>
      </c>
      <c r="J620" s="936"/>
      <c r="K620" s="936"/>
      <c r="L620" s="936"/>
      <c r="M620" s="1046" t="str">
        <f>IF(C620=0,"",IF($P$518&gt;0,"Converted",""))</f>
        <v/>
      </c>
      <c r="N620" s="1046"/>
      <c r="O620" s="1046"/>
      <c r="P620" s="1046"/>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8" customHeight="1" x14ac:dyDescent="0.3">
      <c r="B621" s="146" t="s">
        <v>1535</v>
      </c>
      <c r="C621" s="770">
        <f>P527</f>
        <v>0</v>
      </c>
      <c r="D621" s="746"/>
      <c r="E621" s="18" t="s">
        <v>1790</v>
      </c>
      <c r="F621" s="1027">
        <v>0.47</v>
      </c>
      <c r="G621" s="1027"/>
      <c r="H621" s="18" t="s">
        <v>1792</v>
      </c>
      <c r="I621" s="936">
        <f>IF(C626&lt;R1,"DOI&lt;2005",IF(AND(C621&gt;0,C622&gt;0),0,T621))</f>
        <v>0</v>
      </c>
      <c r="J621" s="936"/>
      <c r="K621" s="936"/>
      <c r="L621" s="936"/>
      <c r="M621" s="1046" t="str">
        <f>IF(C621=0,"",IF(U618=1,"Converted",""))</f>
        <v/>
      </c>
      <c r="N621" s="1046"/>
      <c r="O621" s="1046"/>
      <c r="P621" s="1046"/>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18" customHeight="1" x14ac:dyDescent="0.3">
      <c r="B622" s="146" t="s">
        <v>1931</v>
      </c>
      <c r="C622" s="770">
        <f>P594</f>
        <v>0</v>
      </c>
      <c r="D622" s="746"/>
      <c r="E622" s="18" t="s">
        <v>1790</v>
      </c>
      <c r="F622" s="1027">
        <v>0.6</v>
      </c>
      <c r="G622" s="1027"/>
      <c r="H622" s="18" t="s">
        <v>1792</v>
      </c>
      <c r="I622" s="936">
        <f>IF(C626&lt;R1,"DOI&lt;2005",T622)</f>
        <v>0</v>
      </c>
      <c r="J622" s="936"/>
      <c r="K622" s="936"/>
      <c r="L622" s="936"/>
      <c r="M622" s="1046"/>
      <c r="N622" s="1046"/>
      <c r="O622" s="1046"/>
      <c r="P622" s="1046"/>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18" customHeight="1" x14ac:dyDescent="0.3">
      <c r="B623" s="1161"/>
      <c r="C623" s="1161"/>
      <c r="D623" s="1161"/>
      <c r="E623" s="1161"/>
      <c r="F623" s="1161"/>
      <c r="G623" s="1161"/>
      <c r="H623" s="1161"/>
      <c r="I623" s="1161"/>
      <c r="J623" s="1161"/>
      <c r="K623" s="1161"/>
      <c r="L623" s="1161"/>
      <c r="M623" s="1161"/>
      <c r="N623" s="1161"/>
      <c r="O623" s="1161"/>
      <c r="P623" s="1161"/>
      <c r="R623" s="10"/>
      <c r="S623" s="138"/>
      <c r="T623" s="14"/>
      <c r="U623" s="14"/>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36" customHeight="1" x14ac:dyDescent="0.3">
      <c r="B624" s="922" t="s">
        <v>57</v>
      </c>
      <c r="C624" s="941"/>
      <c r="D624" s="941"/>
      <c r="E624" s="941"/>
      <c r="F624" s="941"/>
      <c r="G624" s="941"/>
      <c r="H624" s="941"/>
      <c r="I624" s="941"/>
      <c r="J624" s="941"/>
      <c r="K624" s="941"/>
      <c r="L624" s="941"/>
      <c r="M624" s="941"/>
      <c r="N624" s="941"/>
      <c r="O624" s="941"/>
      <c r="P624" s="942"/>
    </row>
    <row r="625" spans="2:109" ht="12" customHeight="1" x14ac:dyDescent="0.3">
      <c r="B625" s="712"/>
      <c r="C625" s="712"/>
      <c r="D625" s="712"/>
      <c r="E625" s="712"/>
      <c r="F625" s="712"/>
      <c r="G625" s="712"/>
      <c r="H625" s="712"/>
      <c r="I625" s="712"/>
      <c r="J625" s="712"/>
      <c r="K625" s="712"/>
      <c r="L625" s="712"/>
      <c r="M625" s="712"/>
      <c r="N625" s="712"/>
      <c r="O625" s="712"/>
      <c r="P625" s="712"/>
    </row>
    <row r="626" spans="2:109" ht="19.5" customHeight="1" x14ac:dyDescent="0.3">
      <c r="B626" s="39" t="s">
        <v>1188</v>
      </c>
      <c r="C626" s="775" t="str">
        <f>IF('Start here'!A8="","",'Start here'!A8)</f>
        <v/>
      </c>
      <c r="D626" s="1050"/>
      <c r="E626" s="1051"/>
      <c r="F626" s="1052" t="str">
        <f>IF(C626="","Enter date of injury on worksheet: Start here.","")</f>
        <v>Enter date of injury on worksheet: Start here.</v>
      </c>
      <c r="G626" s="1053"/>
      <c r="H626" s="1053"/>
      <c r="I626" s="1053"/>
      <c r="J626" s="1053"/>
      <c r="K626" s="1053"/>
      <c r="L626" s="1053"/>
      <c r="M626" s="1053"/>
      <c r="N626" s="1053"/>
      <c r="O626" s="1053"/>
      <c r="P626" s="1053"/>
    </row>
    <row r="627" spans="2:109" ht="12" customHeight="1" x14ac:dyDescent="0.3">
      <c r="B627" s="712"/>
      <c r="C627" s="712"/>
      <c r="D627" s="712"/>
      <c r="E627" s="712"/>
      <c r="F627" s="712"/>
      <c r="G627" s="712"/>
      <c r="H627" s="712"/>
      <c r="I627" s="712"/>
      <c r="J627" s="712"/>
      <c r="K627" s="712"/>
      <c r="L627" s="712"/>
      <c r="M627" s="712"/>
      <c r="N627" s="712"/>
      <c r="O627" s="712"/>
      <c r="P627" s="712"/>
    </row>
    <row r="628" spans="2:109" ht="30.75" customHeight="1" x14ac:dyDescent="0.3">
      <c r="B628" s="776" t="s">
        <v>409</v>
      </c>
      <c r="C628" s="776"/>
      <c r="D628" s="776"/>
      <c r="E628" s="776"/>
      <c r="F628" s="776"/>
      <c r="G628" s="776"/>
      <c r="H628" s="776"/>
      <c r="I628" s="776"/>
      <c r="J628" s="776"/>
      <c r="K628" s="776"/>
      <c r="L628" s="776"/>
      <c r="M628" s="776"/>
      <c r="N628" s="776"/>
      <c r="O628" s="776"/>
      <c r="P628" s="776"/>
      <c r="R628" s="947" t="s">
        <v>2196</v>
      </c>
    </row>
    <row r="629" spans="2:109" ht="33.75" customHeight="1" x14ac:dyDescent="0.3">
      <c r="B629" s="146"/>
      <c r="C629" s="927" t="s">
        <v>1795</v>
      </c>
      <c r="D629" s="925"/>
      <c r="E629" s="146"/>
      <c r="F629" s="927" t="s">
        <v>1189</v>
      </c>
      <c r="G629" s="927"/>
      <c r="H629" s="925" t="s">
        <v>365</v>
      </c>
      <c r="I629" s="925"/>
      <c r="J629" s="925"/>
      <c r="K629" s="18"/>
      <c r="L629" s="927" t="s">
        <v>1190</v>
      </c>
      <c r="M629" s="927"/>
      <c r="N629" s="18"/>
      <c r="O629" s="940" t="s">
        <v>1191</v>
      </c>
      <c r="P629" s="942"/>
      <c r="R629" s="947"/>
    </row>
    <row r="630" spans="2:109" ht="18" customHeight="1" x14ac:dyDescent="0.3">
      <c r="B630" s="146" t="s">
        <v>942</v>
      </c>
      <c r="C630" s="770">
        <f>P60</f>
        <v>0</v>
      </c>
      <c r="D630" s="746"/>
      <c r="E630" s="18" t="s">
        <v>1790</v>
      </c>
      <c r="F630" s="18">
        <v>48</v>
      </c>
      <c r="G630" s="18" t="s">
        <v>1792</v>
      </c>
      <c r="H630" s="1047">
        <f t="shared" ref="H630:H636" si="98">C630*F630</f>
        <v>0</v>
      </c>
      <c r="I630" s="1047"/>
      <c r="J630" s="1047"/>
      <c r="K630" s="18" t="s">
        <v>1790</v>
      </c>
      <c r="L630" s="1045">
        <f>IF($C$626="",0,'Dol Per Deg'!$H$11)</f>
        <v>0</v>
      </c>
      <c r="M630" s="1045"/>
      <c r="N630" s="18" t="s">
        <v>1792</v>
      </c>
      <c r="O630" s="1045" t="str">
        <f>IF(C626&gt;=R1,"DOI&gt;2004",IF($P$518&gt;0,"Converted",H630*L630))</f>
        <v>DOI&gt;2004</v>
      </c>
      <c r="P630" s="1045"/>
      <c r="R630" s="370">
        <f t="shared" ref="R630:R635" si="99">IF(O630="Converted",0,C630)</f>
        <v>0</v>
      </c>
    </row>
    <row r="631" spans="2:109" ht="18" customHeight="1" x14ac:dyDescent="0.3">
      <c r="B631" s="146" t="s">
        <v>1415</v>
      </c>
      <c r="C631" s="770">
        <f>P137</f>
        <v>0</v>
      </c>
      <c r="D631" s="746"/>
      <c r="E631" s="18" t="s">
        <v>1790</v>
      </c>
      <c r="F631" s="18">
        <v>24</v>
      </c>
      <c r="G631" s="18" t="s">
        <v>1792</v>
      </c>
      <c r="H631" s="1047">
        <f t="shared" si="98"/>
        <v>0</v>
      </c>
      <c r="I631" s="1047"/>
      <c r="J631" s="1047"/>
      <c r="K631" s="18" t="s">
        <v>1790</v>
      </c>
      <c r="L631" s="1045">
        <f>IF($C$626="",0,'Dol Per Deg'!$H$11)</f>
        <v>0</v>
      </c>
      <c r="M631" s="1045"/>
      <c r="N631" s="18" t="s">
        <v>1792</v>
      </c>
      <c r="O631" s="1045" t="str">
        <f>IF(C626&gt;=R1,"DOI&gt;2004",IF($P$518&gt;0,"Converted",H631*L631))</f>
        <v>DOI&gt;2004</v>
      </c>
      <c r="P631" s="1045"/>
      <c r="R631" s="370">
        <f t="shared" si="99"/>
        <v>0</v>
      </c>
    </row>
    <row r="632" spans="2:109" ht="18" customHeight="1" x14ac:dyDescent="0.3">
      <c r="B632" s="146" t="s">
        <v>584</v>
      </c>
      <c r="C632" s="770">
        <f>P214</f>
        <v>0</v>
      </c>
      <c r="D632" s="746"/>
      <c r="E632" s="18" t="s">
        <v>1790</v>
      </c>
      <c r="F632" s="18">
        <v>22</v>
      </c>
      <c r="G632" s="18" t="s">
        <v>1792</v>
      </c>
      <c r="H632" s="1047">
        <f t="shared" si="98"/>
        <v>0</v>
      </c>
      <c r="I632" s="1047"/>
      <c r="J632" s="1047"/>
      <c r="K632" s="18" t="s">
        <v>1790</v>
      </c>
      <c r="L632" s="1045">
        <f>IF($C$626="",0,'Dol Per Deg'!$H$11)</f>
        <v>0</v>
      </c>
      <c r="M632" s="1045"/>
      <c r="N632" s="18" t="s">
        <v>1792</v>
      </c>
      <c r="O632" s="1045" t="str">
        <f>IF(C626&gt;=R1,"DOI&gt;2004",IF($P$518&gt;0,"Converted",H632*L632))</f>
        <v>DOI&gt;2004</v>
      </c>
      <c r="P632" s="1045"/>
      <c r="R632" s="370">
        <f t="shared" si="99"/>
        <v>0</v>
      </c>
    </row>
    <row r="633" spans="2:109" ht="18" customHeight="1" x14ac:dyDescent="0.3">
      <c r="B633" s="146" t="s">
        <v>1453</v>
      </c>
      <c r="C633" s="770">
        <f>P289</f>
        <v>0</v>
      </c>
      <c r="D633" s="746"/>
      <c r="E633" s="18" t="s">
        <v>1790</v>
      </c>
      <c r="F633" s="18">
        <v>10</v>
      </c>
      <c r="G633" s="18" t="s">
        <v>1792</v>
      </c>
      <c r="H633" s="1047">
        <f t="shared" si="98"/>
        <v>0</v>
      </c>
      <c r="I633" s="1047"/>
      <c r="J633" s="1047"/>
      <c r="K633" s="18" t="s">
        <v>1790</v>
      </c>
      <c r="L633" s="1045">
        <f>IF($C$626="",0,'Dol Per Deg'!$H$11)</f>
        <v>0</v>
      </c>
      <c r="M633" s="1045"/>
      <c r="N633" s="18" t="s">
        <v>1792</v>
      </c>
      <c r="O633" s="1045" t="str">
        <f>IF(C626&gt;=R1,"DOI&gt;2004",IF($P$518&gt;0,"Converted",H633*L633))</f>
        <v>DOI&gt;2004</v>
      </c>
      <c r="P633" s="1045"/>
      <c r="R633" s="370">
        <f t="shared" si="99"/>
        <v>0</v>
      </c>
    </row>
    <row r="634" spans="2:109" ht="18" customHeight="1" x14ac:dyDescent="0.3">
      <c r="B634" s="146" t="s">
        <v>1666</v>
      </c>
      <c r="C634" s="770">
        <f>P364</f>
        <v>0</v>
      </c>
      <c r="D634" s="746"/>
      <c r="E634" s="18" t="s">
        <v>1790</v>
      </c>
      <c r="F634" s="18">
        <v>6</v>
      </c>
      <c r="G634" s="18" t="s">
        <v>1792</v>
      </c>
      <c r="H634" s="860">
        <f t="shared" si="98"/>
        <v>0</v>
      </c>
      <c r="I634" s="860"/>
      <c r="J634" s="860"/>
      <c r="K634" s="18" t="s">
        <v>1790</v>
      </c>
      <c r="L634" s="1045">
        <f>IF($C$626="",0,'Dol Per Deg'!$H$11)</f>
        <v>0</v>
      </c>
      <c r="M634" s="1045"/>
      <c r="N634" s="18" t="s">
        <v>1792</v>
      </c>
      <c r="O634" s="1045" t="str">
        <f>IF(C626&gt;=R1,"DOI&gt;2004",IF($P$518&gt;0,"Converted",H634*L634))</f>
        <v>DOI&gt;2004</v>
      </c>
      <c r="P634" s="1045"/>
      <c r="R634" s="370">
        <f t="shared" si="99"/>
        <v>0</v>
      </c>
    </row>
    <row r="635" spans="2:109" ht="18" customHeight="1" x14ac:dyDescent="0.3">
      <c r="B635" s="146" t="s">
        <v>1535</v>
      </c>
      <c r="C635" s="770">
        <f>P527</f>
        <v>0</v>
      </c>
      <c r="D635" s="746"/>
      <c r="E635" s="18" t="s">
        <v>1790</v>
      </c>
      <c r="F635" s="18">
        <v>150</v>
      </c>
      <c r="G635" s="18" t="s">
        <v>1792</v>
      </c>
      <c r="H635" s="860">
        <f t="shared" si="98"/>
        <v>0</v>
      </c>
      <c r="I635" s="860"/>
      <c r="J635" s="860"/>
      <c r="K635" s="18" t="s">
        <v>1790</v>
      </c>
      <c r="L635" s="1045">
        <f>IF($C$626="",0,'Dol Per Deg'!$H$11)</f>
        <v>0</v>
      </c>
      <c r="M635" s="1045"/>
      <c r="N635" s="18" t="s">
        <v>1792</v>
      </c>
      <c r="O635" s="1045" t="str">
        <f>IF(C626&gt;=R1,"DOI&gt;2004",IF(AND(C635&gt;0,C636&gt;0),"Converted",H635*L635))</f>
        <v>DOI&gt;2004</v>
      </c>
      <c r="P635" s="1045"/>
      <c r="R635" s="370">
        <f t="shared" si="99"/>
        <v>0</v>
      </c>
    </row>
    <row r="636" spans="2:109" ht="18" customHeight="1" x14ac:dyDescent="0.3">
      <c r="B636" s="146" t="s">
        <v>1931</v>
      </c>
      <c r="C636" s="936">
        <f>P594</f>
        <v>0</v>
      </c>
      <c r="D636" s="936"/>
      <c r="E636" s="18" t="s">
        <v>1790</v>
      </c>
      <c r="F636" s="18">
        <v>192</v>
      </c>
      <c r="G636" s="18" t="s">
        <v>1792</v>
      </c>
      <c r="H636" s="860">
        <f t="shared" si="98"/>
        <v>0</v>
      </c>
      <c r="I636" s="860"/>
      <c r="J636" s="860"/>
      <c r="K636" s="18" t="s">
        <v>1790</v>
      </c>
      <c r="L636" s="1045">
        <f>IF($C$626="",0,'Dol Per Deg'!$H$11)</f>
        <v>0</v>
      </c>
      <c r="M636" s="1045"/>
      <c r="N636" s="18" t="s">
        <v>1792</v>
      </c>
      <c r="O636" s="1045" t="str">
        <f>IF(C626&gt;=R1,"DOI&gt;2004",H636*L636)</f>
        <v>DOI&gt;2004</v>
      </c>
      <c r="P636" s="1045"/>
      <c r="R636" s="370">
        <f>C636</f>
        <v>0</v>
      </c>
    </row>
    <row r="637" spans="2:109" ht="36.75" customHeight="1" x14ac:dyDescent="0.35">
      <c r="B637" s="1049" t="s">
        <v>947</v>
      </c>
      <c r="C637" s="1049"/>
      <c r="D637" s="1049"/>
      <c r="E637" s="1049"/>
      <c r="F637" s="1049"/>
      <c r="G637" s="1049"/>
      <c r="H637" s="1049"/>
      <c r="I637" s="1049"/>
      <c r="J637" s="1049"/>
      <c r="K637" s="1049"/>
      <c r="L637" s="1049"/>
      <c r="M637" s="1049"/>
      <c r="N637" s="1049"/>
      <c r="O637" s="1049"/>
      <c r="P637" s="1049"/>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3">
      <c r="B638" s="246" t="s">
        <v>790</v>
      </c>
      <c r="C638" s="1125" t="str">
        <f>IF(S1&lt;&gt;"",S1,"")</f>
        <v>Go to PPD Worksheet</v>
      </c>
      <c r="D638" s="1125"/>
      <c r="E638" s="1125"/>
      <c r="F638" s="1125"/>
      <c r="G638" s="1125"/>
      <c r="H638" s="1125"/>
      <c r="I638" s="1125"/>
      <c r="J638" s="1126" t="str">
        <f>IF(S2&lt;&gt;"",S2,"")</f>
        <v/>
      </c>
      <c r="K638" s="1126"/>
      <c r="L638" s="1126"/>
      <c r="M638" s="1126"/>
      <c r="N638" s="1126"/>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3">
      <c r="D639" s="380"/>
      <c r="F639" s="380"/>
      <c r="H639" s="380"/>
      <c r="J639" s="380"/>
      <c r="L639" s="380"/>
      <c r="N639" s="38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row>
    <row r="640" spans="2:109" x14ac:dyDescent="0.3">
      <c r="D640" s="380"/>
      <c r="F640" s="380"/>
      <c r="H640" s="380"/>
      <c r="J640" s="380"/>
      <c r="L640" s="380"/>
      <c r="N640" s="380"/>
      <c r="R640" s="10"/>
      <c r="S640" s="142"/>
      <c r="T640" s="14"/>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row>
    <row r="641" spans="2:241" hidden="1" x14ac:dyDescent="0.3">
      <c r="D641" s="380"/>
      <c r="F641" s="380"/>
      <c r="H641" s="380"/>
      <c r="J641" s="380"/>
      <c r="L641" s="380"/>
      <c r="N641" s="38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row>
    <row r="642" spans="2:241" s="171" customFormat="1" hidden="1" x14ac:dyDescent="0.3">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s="171" customFormat="1" hidden="1" x14ac:dyDescent="0.3">
      <c r="F643" s="9"/>
      <c r="G643" s="378"/>
      <c r="I643" s="9"/>
      <c r="J643" s="378"/>
      <c r="L643" s="9"/>
      <c r="M643" s="378"/>
      <c r="O643" s="9"/>
      <c r="P643" s="378"/>
      <c r="R643" s="61"/>
      <c r="S643" s="62"/>
      <c r="T643" s="61"/>
      <c r="U643" s="61"/>
      <c r="V643" s="62"/>
      <c r="W643" s="61"/>
      <c r="X643" s="61"/>
      <c r="Y643" s="62"/>
      <c r="Z643" s="61"/>
      <c r="AA643" s="61"/>
      <c r="AB643" s="62"/>
      <c r="AC643" s="61"/>
      <c r="AD643" s="61"/>
      <c r="AE643" s="62"/>
      <c r="AF643" s="61"/>
      <c r="AG643" s="61"/>
      <c r="AH643" s="62"/>
      <c r="AI643" s="61"/>
      <c r="AJ643" s="61"/>
      <c r="AK643" s="62"/>
      <c r="AL643" s="61"/>
      <c r="AM643" s="61"/>
      <c r="AN643" s="62"/>
      <c r="AO643" s="61"/>
      <c r="AP643" s="61"/>
      <c r="AQ643" s="62"/>
      <c r="AR643" s="61"/>
      <c r="AS643" s="61"/>
      <c r="AT643" s="62"/>
      <c r="AV643" s="9"/>
      <c r="AW643" s="378"/>
      <c r="AY643" s="9"/>
      <c r="AZ643" s="378"/>
      <c r="BB643" s="9"/>
      <c r="BC643" s="378"/>
      <c r="BE643" s="9"/>
      <c r="BF643" s="378"/>
      <c r="BH643" s="9"/>
      <c r="BI643" s="378"/>
      <c r="BK643" s="9"/>
      <c r="BL643" s="378"/>
      <c r="BN643" s="9"/>
      <c r="BO643" s="378"/>
      <c r="BQ643" s="9"/>
      <c r="BR643" s="378"/>
      <c r="BT643" s="9"/>
      <c r="BU643" s="378"/>
      <c r="BW643" s="9"/>
      <c r="BX643" s="378"/>
      <c r="BZ643" s="9"/>
      <c r="CA643" s="378"/>
      <c r="CC643" s="9"/>
      <c r="CD643" s="378"/>
      <c r="CF643" s="9"/>
      <c r="CG643" s="378"/>
      <c r="CI643" s="9"/>
      <c r="CJ643" s="378"/>
      <c r="CL643" s="9"/>
      <c r="CM643" s="378"/>
      <c r="CO643" s="9"/>
      <c r="CP643" s="378"/>
      <c r="CR643" s="9"/>
      <c r="CS643" s="378"/>
      <c r="CU643" s="9"/>
      <c r="CV643" s="378"/>
      <c r="CX643" s="9"/>
      <c r="CY643" s="378"/>
      <c r="DA643" s="9"/>
      <c r="DB643" s="378"/>
      <c r="DD643" s="9"/>
      <c r="DE643" s="378"/>
      <c r="DG643" s="9"/>
      <c r="DH643" s="378"/>
      <c r="DJ643" s="9"/>
      <c r="DK643" s="378"/>
      <c r="DM643" s="9"/>
      <c r="DN643" s="378"/>
      <c r="DP643" s="9"/>
      <c r="DQ643" s="378"/>
      <c r="DS643" s="9"/>
      <c r="DT643" s="378"/>
      <c r="DV643" s="9"/>
      <c r="DW643" s="378"/>
      <c r="DY643" s="9"/>
      <c r="DZ643" s="378"/>
      <c r="EB643" s="9"/>
      <c r="EC643" s="378"/>
      <c r="EE643" s="9"/>
      <c r="EF643" s="378"/>
      <c r="EH643" s="9"/>
      <c r="EI643" s="378"/>
      <c r="EK643" s="9"/>
      <c r="EL643" s="378"/>
      <c r="EN643" s="9"/>
      <c r="EO643" s="378"/>
      <c r="EQ643" s="9"/>
      <c r="ER643" s="378"/>
      <c r="ET643" s="9"/>
      <c r="EU643" s="378"/>
      <c r="EW643" s="9"/>
      <c r="EX643" s="378"/>
      <c r="EZ643" s="9"/>
      <c r="FA643" s="378"/>
      <c r="FC643" s="9"/>
      <c r="FD643" s="378"/>
      <c r="FF643" s="9"/>
      <c r="FG643" s="378"/>
      <c r="FI643" s="9"/>
      <c r="FJ643" s="378"/>
      <c r="FL643" s="9"/>
      <c r="FM643" s="378"/>
      <c r="FO643" s="9"/>
      <c r="FP643" s="378"/>
      <c r="FR643" s="9"/>
      <c r="FS643" s="378"/>
      <c r="FU643" s="9"/>
      <c r="FV643" s="378"/>
      <c r="FX643" s="9"/>
      <c r="FY643" s="378"/>
      <c r="GA643" s="9"/>
      <c r="GB643" s="378"/>
      <c r="GD643" s="9"/>
      <c r="GE643" s="378"/>
      <c r="GG643" s="9"/>
      <c r="GH643" s="378"/>
      <c r="GJ643" s="9"/>
      <c r="GK643" s="378"/>
      <c r="GM643" s="9"/>
      <c r="GN643" s="378"/>
      <c r="GP643" s="9"/>
      <c r="GQ643" s="378"/>
      <c r="GS643" s="9"/>
      <c r="GT643" s="378"/>
      <c r="GV643" s="9"/>
      <c r="GW643" s="378"/>
      <c r="GY643" s="9"/>
      <c r="GZ643" s="378"/>
      <c r="HB643" s="9"/>
      <c r="HC643" s="378"/>
      <c r="HE643" s="9"/>
      <c r="HF643" s="378"/>
      <c r="HH643" s="9"/>
      <c r="HI643" s="378"/>
      <c r="HK643" s="9"/>
      <c r="HL643" s="378"/>
      <c r="HN643" s="9"/>
      <c r="HO643" s="378"/>
      <c r="HQ643" s="9"/>
      <c r="HR643" s="378"/>
      <c r="HT643" s="9"/>
      <c r="HU643" s="378"/>
      <c r="HW643" s="9"/>
      <c r="HX643" s="378"/>
      <c r="HZ643" s="9"/>
      <c r="IA643" s="378"/>
      <c r="IC643" s="9"/>
      <c r="ID643" s="378"/>
      <c r="IF643" s="9"/>
      <c r="IG643" s="378"/>
    </row>
    <row r="644" spans="2:241" s="171" customFormat="1" hidden="1" x14ac:dyDescent="0.3">
      <c r="B644" s="370">
        <v>0.01</v>
      </c>
      <c r="C644" s="806" t="s">
        <v>2219</v>
      </c>
      <c r="D644" s="806"/>
      <c r="E644" s="806"/>
      <c r="F644" s="806"/>
      <c r="G644" s="806"/>
      <c r="H644" s="806"/>
      <c r="I644" s="9"/>
      <c r="M644" s="378"/>
      <c r="O644" s="9"/>
      <c r="P644" s="378"/>
      <c r="R644" s="61"/>
      <c r="S644" s="62"/>
      <c r="T644" s="61"/>
      <c r="U644" s="61"/>
      <c r="V644" s="62"/>
      <c r="W644" s="61"/>
      <c r="X644" s="61"/>
      <c r="Y644" s="62"/>
      <c r="Z644" s="61"/>
      <c r="AA644" s="61"/>
      <c r="AB644" s="62"/>
      <c r="AC644" s="61"/>
      <c r="AD644" s="61"/>
      <c r="AE644" s="62"/>
      <c r="AF644" s="61"/>
      <c r="AG644" s="61"/>
      <c r="AH644" s="62"/>
      <c r="AI644" s="61"/>
      <c r="AJ644" s="61"/>
      <c r="AK644" s="62"/>
      <c r="AL644" s="61"/>
      <c r="AM644" s="61"/>
      <c r="AN644" s="62"/>
      <c r="AO644" s="61"/>
      <c r="AP644" s="61"/>
      <c r="AQ644" s="62"/>
      <c r="AR644" s="61"/>
      <c r="AS644" s="61"/>
      <c r="AT644" s="62"/>
      <c r="AV644" s="9"/>
      <c r="AW644" s="378"/>
      <c r="AY644" s="9"/>
      <c r="AZ644" s="378"/>
      <c r="BB644" s="9"/>
      <c r="BC644" s="378"/>
      <c r="BE644" s="9"/>
      <c r="BF644" s="378"/>
      <c r="BH644" s="9"/>
      <c r="BI644" s="378"/>
      <c r="BK644" s="9"/>
      <c r="BL644" s="378"/>
      <c r="BN644" s="9"/>
      <c r="BO644" s="378"/>
      <c r="BQ644" s="9"/>
      <c r="BR644" s="378"/>
      <c r="BT644" s="9"/>
      <c r="BU644" s="378"/>
      <c r="BW644" s="9"/>
      <c r="BX644" s="378"/>
      <c r="BZ644" s="9"/>
      <c r="CA644" s="378"/>
      <c r="CC644" s="9"/>
      <c r="CD644" s="378"/>
      <c r="CF644" s="9"/>
      <c r="CG644" s="378"/>
      <c r="CI644" s="9"/>
      <c r="CJ644" s="378"/>
      <c r="CL644" s="9"/>
      <c r="CM644" s="378"/>
      <c r="CO644" s="9"/>
      <c r="CP644" s="378"/>
      <c r="CR644" s="9"/>
      <c r="CS644" s="378"/>
      <c r="CU644" s="9"/>
      <c r="CV644" s="378"/>
      <c r="CX644" s="9"/>
      <c r="CY644" s="378"/>
      <c r="DA644" s="9"/>
      <c r="DB644" s="378"/>
      <c r="DD644" s="9"/>
      <c r="DE644" s="378"/>
      <c r="DG644" s="9"/>
      <c r="DH644" s="378"/>
      <c r="DJ644" s="9"/>
      <c r="DK644" s="378"/>
      <c r="DM644" s="9"/>
      <c r="DN644" s="378"/>
      <c r="DP644" s="9"/>
      <c r="DQ644" s="378"/>
      <c r="DS644" s="9"/>
      <c r="DT644" s="378"/>
      <c r="DV644" s="9"/>
      <c r="DW644" s="378"/>
      <c r="DY644" s="9"/>
      <c r="DZ644" s="378"/>
      <c r="EB644" s="9"/>
      <c r="EC644" s="378"/>
      <c r="EE644" s="9"/>
      <c r="EF644" s="378"/>
      <c r="EH644" s="9"/>
      <c r="EI644" s="378"/>
      <c r="EK644" s="9"/>
      <c r="EL644" s="378"/>
      <c r="EN644" s="9"/>
      <c r="EO644" s="378"/>
      <c r="EQ644" s="9"/>
      <c r="ER644" s="378"/>
      <c r="ET644" s="9"/>
      <c r="EU644" s="378"/>
      <c r="EW644" s="9"/>
      <c r="EX644" s="378"/>
      <c r="EZ644" s="9"/>
      <c r="FA644" s="378"/>
      <c r="FC644" s="9"/>
      <c r="FD644" s="378"/>
      <c r="FF644" s="9"/>
      <c r="FG644" s="378"/>
      <c r="FI644" s="9"/>
      <c r="FJ644" s="378"/>
      <c r="FL644" s="9"/>
      <c r="FM644" s="378"/>
      <c r="FO644" s="9"/>
      <c r="FP644" s="378"/>
      <c r="FR644" s="9"/>
      <c r="FS644" s="378"/>
      <c r="FU644" s="9"/>
      <c r="FV644" s="378"/>
      <c r="FX644" s="9"/>
      <c r="FY644" s="378"/>
      <c r="GA644" s="9"/>
      <c r="GB644" s="378"/>
      <c r="GD644" s="9"/>
      <c r="GE644" s="378"/>
      <c r="GG644" s="9"/>
      <c r="GH644" s="378"/>
      <c r="GJ644" s="9"/>
      <c r="GK644" s="378"/>
      <c r="GM644" s="9"/>
      <c r="GN644" s="378"/>
      <c r="GP644" s="9"/>
      <c r="GQ644" s="378"/>
      <c r="GS644" s="9"/>
      <c r="GT644" s="378"/>
      <c r="GV644" s="9"/>
      <c r="GW644" s="378"/>
      <c r="GY644" s="9"/>
      <c r="GZ644" s="378"/>
      <c r="HB644" s="9"/>
      <c r="HC644" s="378"/>
      <c r="HE644" s="9"/>
      <c r="HF644" s="378"/>
      <c r="HH644" s="9"/>
      <c r="HI644" s="378"/>
      <c r="HK644" s="9"/>
      <c r="HL644" s="378"/>
      <c r="HN644" s="9"/>
      <c r="HO644" s="378"/>
      <c r="HQ644" s="9"/>
      <c r="HR644" s="378"/>
      <c r="HT644" s="9"/>
      <c r="HU644" s="378"/>
      <c r="HW644" s="9"/>
      <c r="HX644" s="378"/>
      <c r="HZ644" s="9"/>
      <c r="IA644" s="378"/>
      <c r="IC644" s="9"/>
      <c r="ID644" s="378"/>
      <c r="IF644" s="9"/>
      <c r="IG644" s="378"/>
    </row>
    <row r="645" spans="2:241" hidden="1" x14ac:dyDescent="0.3">
      <c r="B645" s="370">
        <v>0.99</v>
      </c>
      <c r="C645" s="806" t="s">
        <v>2219</v>
      </c>
      <c r="D645" s="806"/>
      <c r="E645" s="806"/>
      <c r="F645" s="806"/>
      <c r="G645" s="806"/>
      <c r="H645" s="806"/>
      <c r="I645" s="10"/>
      <c r="J645" s="11"/>
      <c r="K645" s="10"/>
      <c r="L645" s="11"/>
      <c r="M645" s="10"/>
      <c r="N645" s="11"/>
      <c r="O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row>
    <row r="646" spans="2:241" hidden="1" x14ac:dyDescent="0.3">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row>
    <row r="647" spans="2:241" hidden="1" x14ac:dyDescent="0.3">
      <c r="C647" s="2"/>
      <c r="D647" s="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hidden="1" x14ac:dyDescent="0.3">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3">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hidden="1" x14ac:dyDescent="0.3">
      <c r="B650" s="776" t="s">
        <v>2220</v>
      </c>
      <c r="C650" s="2"/>
      <c r="D650" s="2"/>
      <c r="F650" s="2"/>
      <c r="G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row>
    <row r="651" spans="2:241" hidden="1" x14ac:dyDescent="0.3">
      <c r="B651" s="776"/>
      <c r="C651" s="2"/>
      <c r="D651" s="2"/>
      <c r="F651" s="2"/>
      <c r="G651" s="151"/>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row>
    <row r="652" spans="2:241" hidden="1" x14ac:dyDescent="0.3">
      <c r="B652" s="77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row>
    <row r="653" spans="2:241" hidden="1" x14ac:dyDescent="0.3">
      <c r="B653" s="77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3">
      <c r="B654" s="146"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3">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3">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3">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3">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3">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3">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3">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3">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3">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3">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3">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3">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3">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3">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3">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3">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3">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3">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3">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3">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3">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3">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3">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3">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3">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3">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3">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3">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3">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3">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3">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3">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3">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3">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3">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3">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3">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3">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3">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3">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3">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3">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3">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3">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3">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3">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3">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3">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3">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3">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3">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3">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3">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3">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3">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3">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3">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3">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3">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3">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3">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3">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3">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3">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3">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3">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3">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3">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3">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3">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3">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3">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3">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3">
      <c r="B728" s="146">
        <v>73</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3">
      <c r="B729" s="146">
        <v>74</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3">
      <c r="B730" s="146">
        <v>75</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3">
      <c r="B731" s="146">
        <v>76</v>
      </c>
    </row>
    <row r="732" spans="2:46" hidden="1" x14ac:dyDescent="0.3">
      <c r="B732" s="146">
        <v>77</v>
      </c>
    </row>
    <row r="733" spans="2:46" hidden="1" x14ac:dyDescent="0.3">
      <c r="B733" s="146">
        <v>78</v>
      </c>
    </row>
    <row r="734" spans="2:46" hidden="1" x14ac:dyDescent="0.3">
      <c r="B734" s="146">
        <v>79</v>
      </c>
    </row>
    <row r="735" spans="2:46" hidden="1" x14ac:dyDescent="0.3">
      <c r="B735" s="146">
        <v>80</v>
      </c>
    </row>
    <row r="736" spans="2:46" hidden="1" x14ac:dyDescent="0.3">
      <c r="B736" s="146">
        <v>81</v>
      </c>
    </row>
    <row r="737" spans="2:2" hidden="1" x14ac:dyDescent="0.3">
      <c r="B737" s="146">
        <v>82</v>
      </c>
    </row>
    <row r="738" spans="2:2" hidden="1" x14ac:dyDescent="0.3">
      <c r="B738" s="146">
        <v>83</v>
      </c>
    </row>
    <row r="739" spans="2:2" hidden="1" x14ac:dyDescent="0.3">
      <c r="B739" s="146">
        <v>84</v>
      </c>
    </row>
    <row r="740" spans="2:2" hidden="1" x14ac:dyDescent="0.3">
      <c r="B740" s="146">
        <v>85</v>
      </c>
    </row>
    <row r="741" spans="2:2" hidden="1" x14ac:dyDescent="0.3">
      <c r="B741" s="146">
        <v>86</v>
      </c>
    </row>
    <row r="742" spans="2:2" hidden="1" x14ac:dyDescent="0.3">
      <c r="B742" s="146">
        <v>87</v>
      </c>
    </row>
    <row r="743" spans="2:2" hidden="1" x14ac:dyDescent="0.3">
      <c r="B743" s="146">
        <v>88</v>
      </c>
    </row>
    <row r="744" spans="2:2" hidden="1" x14ac:dyDescent="0.3">
      <c r="B744" s="146">
        <v>89</v>
      </c>
    </row>
    <row r="745" spans="2:2" hidden="1" x14ac:dyDescent="0.3">
      <c r="B745" s="146">
        <v>90</v>
      </c>
    </row>
    <row r="746" spans="2:2" hidden="1" x14ac:dyDescent="0.3">
      <c r="B746" s="146">
        <v>91</v>
      </c>
    </row>
    <row r="747" spans="2:2" hidden="1" x14ac:dyDescent="0.3">
      <c r="B747" s="146">
        <v>92</v>
      </c>
    </row>
    <row r="748" spans="2:2" hidden="1" x14ac:dyDescent="0.3">
      <c r="B748" s="146">
        <v>93</v>
      </c>
    </row>
    <row r="749" spans="2:2" hidden="1" x14ac:dyDescent="0.3">
      <c r="B749" s="146">
        <v>94</v>
      </c>
    </row>
    <row r="750" spans="2:2" hidden="1" x14ac:dyDescent="0.3">
      <c r="B750" s="146">
        <v>95</v>
      </c>
    </row>
    <row r="751" spans="2:2" hidden="1" x14ac:dyDescent="0.3">
      <c r="B751" s="146">
        <v>96</v>
      </c>
    </row>
    <row r="752" spans="2:2" hidden="1" x14ac:dyDescent="0.3">
      <c r="B752" s="146">
        <v>97</v>
      </c>
    </row>
    <row r="753" spans="2:2" hidden="1" x14ac:dyDescent="0.3">
      <c r="B753" s="146">
        <v>98</v>
      </c>
    </row>
    <row r="754" spans="2:2" hidden="1" x14ac:dyDescent="0.3">
      <c r="B754" s="146">
        <v>99</v>
      </c>
    </row>
    <row r="755" spans="2:2" hidden="1" x14ac:dyDescent="0.3">
      <c r="B755" s="146">
        <v>100</v>
      </c>
    </row>
    <row r="756" spans="2:2" hidden="1" x14ac:dyDescent="0.3">
      <c r="B756" s="146">
        <v>101</v>
      </c>
    </row>
    <row r="757" spans="2:2" hidden="1" x14ac:dyDescent="0.3">
      <c r="B757" s="146">
        <v>102</v>
      </c>
    </row>
    <row r="758" spans="2:2" hidden="1" x14ac:dyDescent="0.3">
      <c r="B758" s="146">
        <v>103</v>
      </c>
    </row>
    <row r="759" spans="2:2" hidden="1" x14ac:dyDescent="0.3">
      <c r="B759" s="146">
        <v>104</v>
      </c>
    </row>
    <row r="760" spans="2:2" hidden="1" x14ac:dyDescent="0.3">
      <c r="B760" s="146">
        <v>105</v>
      </c>
    </row>
    <row r="761" spans="2:2" hidden="1" x14ac:dyDescent="0.3">
      <c r="B761" s="146">
        <v>106</v>
      </c>
    </row>
    <row r="762" spans="2:2" hidden="1" x14ac:dyDescent="0.3">
      <c r="B762" s="146">
        <v>107</v>
      </c>
    </row>
    <row r="763" spans="2:2" hidden="1" x14ac:dyDescent="0.3">
      <c r="B763" s="146">
        <v>108</v>
      </c>
    </row>
    <row r="764" spans="2:2" hidden="1" x14ac:dyDescent="0.3">
      <c r="B764" s="146">
        <v>109</v>
      </c>
    </row>
    <row r="765" spans="2:2" hidden="1" x14ac:dyDescent="0.3">
      <c r="B765" s="146">
        <v>110</v>
      </c>
    </row>
    <row r="766" spans="2:2" hidden="1" x14ac:dyDescent="0.3">
      <c r="B766" s="146">
        <v>111</v>
      </c>
    </row>
    <row r="767" spans="2:2" hidden="1" x14ac:dyDescent="0.3">
      <c r="B767" s="146">
        <v>112</v>
      </c>
    </row>
    <row r="768" spans="2:2" hidden="1" x14ac:dyDescent="0.3">
      <c r="B768" s="146">
        <v>113</v>
      </c>
    </row>
    <row r="769" spans="2:2" hidden="1" x14ac:dyDescent="0.3">
      <c r="B769" s="146">
        <v>114</v>
      </c>
    </row>
    <row r="770" spans="2:2" hidden="1" x14ac:dyDescent="0.3">
      <c r="B770" s="146">
        <v>115</v>
      </c>
    </row>
    <row r="771" spans="2:2" hidden="1" x14ac:dyDescent="0.3">
      <c r="B771" s="146">
        <v>116</v>
      </c>
    </row>
    <row r="772" spans="2:2" hidden="1" x14ac:dyDescent="0.3">
      <c r="B772" s="146">
        <v>117</v>
      </c>
    </row>
    <row r="773" spans="2:2" hidden="1" x14ac:dyDescent="0.3">
      <c r="B773" s="146">
        <v>118</v>
      </c>
    </row>
    <row r="774" spans="2:2" hidden="1" x14ac:dyDescent="0.3">
      <c r="B774" s="146">
        <v>119</v>
      </c>
    </row>
    <row r="775" spans="2:2" hidden="1" x14ac:dyDescent="0.3">
      <c r="B775" s="146">
        <v>120</v>
      </c>
    </row>
    <row r="776" spans="2:2" hidden="1" x14ac:dyDescent="0.3">
      <c r="B776" s="146">
        <v>121</v>
      </c>
    </row>
    <row r="777" spans="2:2" hidden="1" x14ac:dyDescent="0.3">
      <c r="B777" s="146">
        <v>122</v>
      </c>
    </row>
    <row r="778" spans="2:2" hidden="1" x14ac:dyDescent="0.3">
      <c r="B778" s="146">
        <v>123</v>
      </c>
    </row>
    <row r="779" spans="2:2" hidden="1" x14ac:dyDescent="0.3">
      <c r="B779" s="146">
        <v>124</v>
      </c>
    </row>
    <row r="780" spans="2:2" hidden="1" x14ac:dyDescent="0.3">
      <c r="B780" s="146">
        <v>125</v>
      </c>
    </row>
    <row r="781" spans="2:2" hidden="1" x14ac:dyDescent="0.3">
      <c r="B781" s="146">
        <v>126</v>
      </c>
    </row>
    <row r="782" spans="2:2" hidden="1" x14ac:dyDescent="0.3">
      <c r="B782" s="146">
        <v>127</v>
      </c>
    </row>
    <row r="783" spans="2:2" hidden="1" x14ac:dyDescent="0.3">
      <c r="B783" s="146">
        <v>128</v>
      </c>
    </row>
    <row r="784" spans="2:2" hidden="1" x14ac:dyDescent="0.3">
      <c r="B784" s="146">
        <v>129</v>
      </c>
    </row>
    <row r="785" spans="2:2" hidden="1" x14ac:dyDescent="0.3">
      <c r="B785" s="146">
        <v>130</v>
      </c>
    </row>
    <row r="786" spans="2:2" hidden="1" x14ac:dyDescent="0.3">
      <c r="B786" s="146">
        <v>131</v>
      </c>
    </row>
    <row r="787" spans="2:2" hidden="1" x14ac:dyDescent="0.3">
      <c r="B787" s="146">
        <v>132</v>
      </c>
    </row>
    <row r="788" spans="2:2" hidden="1" x14ac:dyDescent="0.3">
      <c r="B788" s="146">
        <v>133</v>
      </c>
    </row>
    <row r="789" spans="2:2" hidden="1" x14ac:dyDescent="0.3">
      <c r="B789" s="146">
        <v>134</v>
      </c>
    </row>
    <row r="790" spans="2:2" hidden="1" x14ac:dyDescent="0.3">
      <c r="B790" s="146">
        <v>135</v>
      </c>
    </row>
    <row r="791" spans="2:2" hidden="1" x14ac:dyDescent="0.3">
      <c r="B791" s="146">
        <v>136</v>
      </c>
    </row>
    <row r="792" spans="2:2" hidden="1" x14ac:dyDescent="0.3">
      <c r="B792" s="146">
        <v>137</v>
      </c>
    </row>
    <row r="793" spans="2:2" hidden="1" x14ac:dyDescent="0.3">
      <c r="B793" s="146">
        <v>138</v>
      </c>
    </row>
    <row r="794" spans="2:2" hidden="1" x14ac:dyDescent="0.3">
      <c r="B794" s="146">
        <v>139</v>
      </c>
    </row>
    <row r="795" spans="2:2" hidden="1" x14ac:dyDescent="0.3">
      <c r="B795" s="146">
        <v>140</v>
      </c>
    </row>
    <row r="796" spans="2:2" hidden="1" x14ac:dyDescent="0.3">
      <c r="B796" s="146">
        <v>141</v>
      </c>
    </row>
    <row r="797" spans="2:2" hidden="1" x14ac:dyDescent="0.3">
      <c r="B797" s="146">
        <v>142</v>
      </c>
    </row>
    <row r="798" spans="2:2" hidden="1" x14ac:dyDescent="0.3">
      <c r="B798" s="146">
        <v>143</v>
      </c>
    </row>
    <row r="799" spans="2:2" hidden="1" x14ac:dyDescent="0.3">
      <c r="B799" s="146">
        <v>144</v>
      </c>
    </row>
    <row r="800" spans="2:2" hidden="1" x14ac:dyDescent="0.3">
      <c r="B800" s="146">
        <v>145</v>
      </c>
    </row>
    <row r="801" spans="2:2" hidden="1" x14ac:dyDescent="0.3">
      <c r="B801" s="146">
        <v>146</v>
      </c>
    </row>
    <row r="802" spans="2:2" hidden="1" x14ac:dyDescent="0.3">
      <c r="B802" s="146">
        <v>147</v>
      </c>
    </row>
    <row r="803" spans="2:2" hidden="1" x14ac:dyDescent="0.3">
      <c r="B803" s="146">
        <v>148</v>
      </c>
    </row>
    <row r="804" spans="2:2" hidden="1" x14ac:dyDescent="0.3">
      <c r="B804" s="146">
        <v>149</v>
      </c>
    </row>
    <row r="805" spans="2:2" hidden="1" x14ac:dyDescent="0.3">
      <c r="B805" s="146">
        <v>150</v>
      </c>
    </row>
    <row r="806" spans="2:2" hidden="1" x14ac:dyDescent="0.3"/>
    <row r="807" spans="2:2" hidden="1" x14ac:dyDescent="0.3"/>
    <row r="808" spans="2:2" hidden="1" x14ac:dyDescent="0.3"/>
    <row r="809" spans="2:2" hidden="1" x14ac:dyDescent="0.3"/>
  </sheetData>
  <sheetProtection sheet="1" objects="1" scenarios="1"/>
  <mergeCells count="1935">
    <mergeCell ref="C644:H644"/>
    <mergeCell ref="C645:H645"/>
    <mergeCell ref="B650:B653"/>
    <mergeCell ref="V407:AC407"/>
    <mergeCell ref="S411:T411"/>
    <mergeCell ref="S414:T414"/>
    <mergeCell ref="S418:T418"/>
    <mergeCell ref="U418:X418"/>
    <mergeCell ref="R422:R423"/>
    <mergeCell ref="V569:AC569"/>
    <mergeCell ref="R583:R584"/>
    <mergeCell ref="X583:Y584"/>
    <mergeCell ref="AB597:AC597"/>
    <mergeCell ref="R628:R629"/>
    <mergeCell ref="AB534:AD534"/>
    <mergeCell ref="AB535:AD535"/>
    <mergeCell ref="R431:R432"/>
    <mergeCell ref="R434:S439"/>
    <mergeCell ref="R445:S445"/>
    <mergeCell ref="AA460:AC460"/>
    <mergeCell ref="B582:O582"/>
    <mergeCell ref="B579:B581"/>
    <mergeCell ref="B584:N584"/>
    <mergeCell ref="C638:I638"/>
    <mergeCell ref="C635:D635"/>
    <mergeCell ref="H635:J635"/>
    <mergeCell ref="V524:AD524"/>
    <mergeCell ref="J638:N638"/>
    <mergeCell ref="K597:O601"/>
    <mergeCell ref="G567:O567"/>
    <mergeCell ref="K568:O568"/>
    <mergeCell ref="B574:O574"/>
    <mergeCell ref="BR191:CA191"/>
    <mergeCell ref="AH190:AM190"/>
    <mergeCell ref="AO190:AS190"/>
    <mergeCell ref="AU190:AX190"/>
    <mergeCell ref="AZ190:BG190"/>
    <mergeCell ref="BI190:BN190"/>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V289:X289"/>
    <mergeCell ref="V318:Y318"/>
    <mergeCell ref="S332:T332"/>
    <mergeCell ref="S266:X266"/>
    <mergeCell ref="AA266:AF266"/>
    <mergeCell ref="U241:U242"/>
    <mergeCell ref="AC241:AD241"/>
    <mergeCell ref="W244:X244"/>
    <mergeCell ref="AO341:AS341"/>
    <mergeCell ref="W394:X395"/>
    <mergeCell ref="V396:Y396"/>
    <mergeCell ref="W252:X252"/>
    <mergeCell ref="W248:X248"/>
    <mergeCell ref="T241:T242"/>
    <mergeCell ref="Z386:AB386"/>
    <mergeCell ref="U316:U317"/>
    <mergeCell ref="T392:U392"/>
    <mergeCell ref="AA317:AD319"/>
    <mergeCell ref="AA291:AC294"/>
    <mergeCell ref="AA366:AC369"/>
    <mergeCell ref="R282:R284"/>
    <mergeCell ref="R309:R310"/>
    <mergeCell ref="W353:Z353"/>
    <mergeCell ref="R357:R359"/>
    <mergeCell ref="R361:S362"/>
    <mergeCell ref="T316:T317"/>
    <mergeCell ref="R313:R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S43:T43"/>
    <mergeCell ref="W50:Z50"/>
    <mergeCell ref="R54:R55"/>
    <mergeCell ref="Y61:Z64"/>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AL32:AO3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G291:H291"/>
    <mergeCell ref="G292:H292"/>
    <mergeCell ref="B294:D294"/>
    <mergeCell ref="B295:D295"/>
    <mergeCell ref="B296:D296"/>
    <mergeCell ref="B291:D291"/>
    <mergeCell ref="E291:F291"/>
    <mergeCell ref="B83:P83"/>
    <mergeCell ref="P60:P78"/>
    <mergeCell ref="AZ341:BG341"/>
    <mergeCell ref="BI341:BN341"/>
    <mergeCell ref="B310:O310"/>
    <mergeCell ref="G323:H323"/>
    <mergeCell ref="I323:J323"/>
    <mergeCell ref="E320:F320"/>
    <mergeCell ref="W323:X323"/>
    <mergeCell ref="W327:X327"/>
    <mergeCell ref="C328:D328"/>
    <mergeCell ref="E328:F328"/>
    <mergeCell ref="G328:H328"/>
    <mergeCell ref="I328:J328"/>
    <mergeCell ref="K328:O328"/>
    <mergeCell ref="C327:D327"/>
    <mergeCell ref="M341:N341"/>
    <mergeCell ref="C338:D338"/>
    <mergeCell ref="E338:F338"/>
    <mergeCell ref="I338:J338"/>
    <mergeCell ref="M338:N338"/>
    <mergeCell ref="E341:F341"/>
    <mergeCell ref="G341:H341"/>
    <mergeCell ref="I341:J341"/>
    <mergeCell ref="E340:F340"/>
    <mergeCell ref="E321:F321"/>
    <mergeCell ref="B332:O332"/>
    <mergeCell ref="C339:D339"/>
    <mergeCell ref="B313:O313"/>
    <mergeCell ref="G324:H324"/>
    <mergeCell ref="I324:J324"/>
    <mergeCell ref="F334:O334"/>
    <mergeCell ref="K341:L341"/>
    <mergeCell ref="K320:O320"/>
    <mergeCell ref="E365:F365"/>
    <mergeCell ref="B368:D368"/>
    <mergeCell ref="E368:F368"/>
    <mergeCell ref="E366:F366"/>
    <mergeCell ref="B367:D367"/>
    <mergeCell ref="I365:J365"/>
    <mergeCell ref="B372:D372"/>
    <mergeCell ref="B356:O356"/>
    <mergeCell ref="M347:N347"/>
    <mergeCell ref="L354:N354"/>
    <mergeCell ref="K340:L340"/>
    <mergeCell ref="K348:L348"/>
    <mergeCell ref="AU341:AX341"/>
    <mergeCell ref="I265:J265"/>
    <mergeCell ref="K265:L265"/>
    <mergeCell ref="M265:N265"/>
    <mergeCell ref="AA216:AC219"/>
    <mergeCell ref="G264:H264"/>
    <mergeCell ref="B301:D301"/>
    <mergeCell ref="V364:X364"/>
    <mergeCell ref="B314:O314"/>
    <mergeCell ref="I327:J327"/>
    <mergeCell ref="K318:O318"/>
    <mergeCell ref="K339:L339"/>
    <mergeCell ref="J330:N330"/>
    <mergeCell ref="J331:O331"/>
    <mergeCell ref="K342:L342"/>
    <mergeCell ref="G343:H343"/>
    <mergeCell ref="I343:J343"/>
    <mergeCell ref="G327:H327"/>
    <mergeCell ref="G321:O321"/>
    <mergeCell ref="M344:N344"/>
    <mergeCell ref="K326:N326"/>
    <mergeCell ref="E319:F319"/>
    <mergeCell ref="G319:H319"/>
    <mergeCell ref="E339:F339"/>
    <mergeCell ref="D333:E333"/>
    <mergeCell ref="F336:O336"/>
    <mergeCell ref="I339:J339"/>
    <mergeCell ref="D334:E334"/>
    <mergeCell ref="E344:F344"/>
    <mergeCell ref="B375:D375"/>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71:D371"/>
    <mergeCell ref="E369:F369"/>
    <mergeCell ref="E371:F371"/>
    <mergeCell ref="B374:D374"/>
    <mergeCell ref="G367:H367"/>
    <mergeCell ref="I367:J367"/>
    <mergeCell ref="E370:F370"/>
    <mergeCell ref="G364:J364"/>
    <mergeCell ref="G365:H365"/>
    <mergeCell ref="G254:O254"/>
    <mergeCell ref="G137:J137"/>
    <mergeCell ref="K114:L114"/>
    <mergeCell ref="G167:H167"/>
    <mergeCell ref="B118:O118"/>
    <mergeCell ref="G120:H120"/>
    <mergeCell ref="I120:J120"/>
    <mergeCell ref="K120:L120"/>
    <mergeCell ref="B140:D140"/>
    <mergeCell ref="G138:H138"/>
    <mergeCell ref="M120:N120"/>
    <mergeCell ref="I121:J121"/>
    <mergeCell ref="K167:O167"/>
    <mergeCell ref="C166:F166"/>
    <mergeCell ref="B152:D152"/>
    <mergeCell ref="G166:J166"/>
    <mergeCell ref="C115:D115"/>
    <mergeCell ref="E115:F115"/>
    <mergeCell ref="G115:H115"/>
    <mergeCell ref="I116:J116"/>
    <mergeCell ref="C117:D117"/>
    <mergeCell ref="E117:F117"/>
    <mergeCell ref="G117:H117"/>
    <mergeCell ref="I188:J188"/>
    <mergeCell ref="B147:D147"/>
    <mergeCell ref="B146:D146"/>
    <mergeCell ref="M115:N115"/>
    <mergeCell ref="M114:N114"/>
    <mergeCell ref="E121:F121"/>
    <mergeCell ref="G121:H121"/>
    <mergeCell ref="E191:F191"/>
    <mergeCell ref="G191:H191"/>
    <mergeCell ref="I90:J90"/>
    <mergeCell ref="I91:J91"/>
    <mergeCell ref="I92:J92"/>
    <mergeCell ref="K91:O91"/>
    <mergeCell ref="E93:F93"/>
    <mergeCell ref="K100:O100"/>
    <mergeCell ref="J102:N102"/>
    <mergeCell ref="K112:L112"/>
    <mergeCell ref="B110:O110"/>
    <mergeCell ref="C99:D99"/>
    <mergeCell ref="E101:F101"/>
    <mergeCell ref="K99:O99"/>
    <mergeCell ref="C97:D97"/>
    <mergeCell ref="C95:D95"/>
    <mergeCell ref="I95:J95"/>
    <mergeCell ref="E97:F97"/>
    <mergeCell ref="E96:F96"/>
    <mergeCell ref="I96:J96"/>
    <mergeCell ref="C101:D101"/>
    <mergeCell ref="E113:F113"/>
    <mergeCell ref="G113:H113"/>
    <mergeCell ref="I113:J113"/>
    <mergeCell ref="I114:J114"/>
    <mergeCell ref="I115:J115"/>
    <mergeCell ref="C114:D114"/>
    <mergeCell ref="E114:F114"/>
    <mergeCell ref="G114:H114"/>
    <mergeCell ref="F107:O107"/>
    <mergeCell ref="F108:O108"/>
    <mergeCell ref="B98:J98"/>
    <mergeCell ref="E71:F71"/>
    <mergeCell ref="K65:O69"/>
    <mergeCell ref="I77:J77"/>
    <mergeCell ref="K60:O64"/>
    <mergeCell ref="B75:D75"/>
    <mergeCell ref="E73:F73"/>
    <mergeCell ref="F109:O109"/>
    <mergeCell ref="C111:D111"/>
    <mergeCell ref="E61:F61"/>
    <mergeCell ref="G64:H64"/>
    <mergeCell ref="B63:D63"/>
    <mergeCell ref="K90:O90"/>
    <mergeCell ref="C89:F89"/>
    <mergeCell ref="I65:J65"/>
    <mergeCell ref="E70:F70"/>
    <mergeCell ref="G60:J60"/>
    <mergeCell ref="I61:J61"/>
    <mergeCell ref="G62:H62"/>
    <mergeCell ref="B87:O87"/>
    <mergeCell ref="B104:P104"/>
    <mergeCell ref="C100:D100"/>
    <mergeCell ref="P88:P103"/>
    <mergeCell ref="B106:C109"/>
    <mergeCell ref="G97:O97"/>
    <mergeCell ref="B94:J94"/>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I75:J75"/>
    <mergeCell ref="G77:H77"/>
    <mergeCell ref="B68:D68"/>
    <mergeCell ref="E65:F65"/>
    <mergeCell ref="E66:F66"/>
    <mergeCell ref="E72:F72"/>
    <mergeCell ref="F46:O46"/>
    <mergeCell ref="B59:O59"/>
    <mergeCell ref="E90:F90"/>
    <mergeCell ref="G90:H90"/>
    <mergeCell ref="L50:O50"/>
    <mergeCell ref="L51:N51"/>
    <mergeCell ref="H50:J50"/>
    <mergeCell ref="C50:G50"/>
    <mergeCell ref="B48:O48"/>
    <mergeCell ref="G300:H300"/>
    <mergeCell ref="F388:G388"/>
    <mergeCell ref="E373:F373"/>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112:F112"/>
    <mergeCell ref="J103:O103"/>
    <mergeCell ref="M121:N121"/>
    <mergeCell ref="C121:D121"/>
    <mergeCell ref="G89:J89"/>
    <mergeCell ref="K89:O89"/>
    <mergeCell ref="C113:D113"/>
    <mergeCell ref="B36:O36"/>
    <mergeCell ref="C38:D38"/>
    <mergeCell ref="E38:F38"/>
    <mergeCell ref="G38:H38"/>
    <mergeCell ref="I38:J38"/>
    <mergeCell ref="K38:L38"/>
    <mergeCell ref="M38:N38"/>
    <mergeCell ref="B80:P80"/>
    <mergeCell ref="B54:C55"/>
    <mergeCell ref="B76:D76"/>
    <mergeCell ref="B65:D65"/>
    <mergeCell ref="B62:D62"/>
    <mergeCell ref="E63:F63"/>
    <mergeCell ref="P84:P86"/>
    <mergeCell ref="M40:N40"/>
    <mergeCell ref="I40:J40"/>
    <mergeCell ref="I39:J39"/>
    <mergeCell ref="K39:L39"/>
    <mergeCell ref="M39:N39"/>
    <mergeCell ref="B42:O42"/>
    <mergeCell ref="K40:L40"/>
    <mergeCell ref="E76:F76"/>
    <mergeCell ref="C39:D39"/>
    <mergeCell ref="E39:F39"/>
    <mergeCell ref="C40:D40"/>
    <mergeCell ref="E40:F40"/>
    <mergeCell ref="G40:H40"/>
    <mergeCell ref="B41:O41"/>
    <mergeCell ref="B44:C47"/>
    <mergeCell ref="D44:E44"/>
    <mergeCell ref="F44:O44"/>
    <mergeCell ref="D46:E46"/>
    <mergeCell ref="E294:F294"/>
    <mergeCell ref="B304:D304"/>
    <mergeCell ref="E304:F304"/>
    <mergeCell ref="G303:H303"/>
    <mergeCell ref="I303:J303"/>
    <mergeCell ref="F333:O333"/>
    <mergeCell ref="M339:N339"/>
    <mergeCell ref="C280:G280"/>
    <mergeCell ref="H280:J280"/>
    <mergeCell ref="L280:N280"/>
    <mergeCell ref="M268:N268"/>
    <mergeCell ref="G268:H268"/>
    <mergeCell ref="I268:J268"/>
    <mergeCell ref="C269:D269"/>
    <mergeCell ref="E168:F168"/>
    <mergeCell ref="G168:H168"/>
    <mergeCell ref="I168:J168"/>
    <mergeCell ref="C176:D176"/>
    <mergeCell ref="C197:D197"/>
    <mergeCell ref="E197:F197"/>
    <mergeCell ref="K197:L197"/>
    <mergeCell ref="I197:J197"/>
    <mergeCell ref="K249:O249"/>
    <mergeCell ref="C250:D250"/>
    <mergeCell ref="E250:F250"/>
    <mergeCell ref="G250:O250"/>
    <mergeCell ref="B251:J251"/>
    <mergeCell ref="K251:N251"/>
    <mergeCell ref="E178:F178"/>
    <mergeCell ref="E193:F193"/>
    <mergeCell ref="F183:O183"/>
    <mergeCell ref="I192:J192"/>
    <mergeCell ref="C340:D340"/>
    <mergeCell ref="G340:H340"/>
    <mergeCell ref="E295:F295"/>
    <mergeCell ref="E296:F296"/>
    <mergeCell ref="I299:J299"/>
    <mergeCell ref="G301:H301"/>
    <mergeCell ref="I301:J301"/>
    <mergeCell ref="K293:O297"/>
    <mergeCell ref="G290:H290"/>
    <mergeCell ref="I291:J291"/>
    <mergeCell ref="E292:F292"/>
    <mergeCell ref="B311:P311"/>
    <mergeCell ref="G296:H296"/>
    <mergeCell ref="P289:P305"/>
    <mergeCell ref="C320:D320"/>
    <mergeCell ref="C319:D319"/>
    <mergeCell ref="K327:O327"/>
    <mergeCell ref="P316:P331"/>
    <mergeCell ref="C321:D321"/>
    <mergeCell ref="C325:D325"/>
    <mergeCell ref="E325:F325"/>
    <mergeCell ref="G325:O325"/>
    <mergeCell ref="B322:J322"/>
    <mergeCell ref="K322:N322"/>
    <mergeCell ref="G302:H302"/>
    <mergeCell ref="I294:J294"/>
    <mergeCell ref="B289:F289"/>
    <mergeCell ref="I297:J297"/>
    <mergeCell ref="G294:H294"/>
    <mergeCell ref="E297:F297"/>
    <mergeCell ref="G293:H293"/>
    <mergeCell ref="I295:J295"/>
    <mergeCell ref="B637:P637"/>
    <mergeCell ref="B1:C1"/>
    <mergeCell ref="D1:K1"/>
    <mergeCell ref="M1:P1"/>
    <mergeCell ref="K594:O596"/>
    <mergeCell ref="B555:O555"/>
    <mergeCell ref="B494:O494"/>
    <mergeCell ref="B526:O526"/>
    <mergeCell ref="M29:N29"/>
    <mergeCell ref="E569:F569"/>
    <mergeCell ref="G569:O569"/>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23:P623"/>
    <mergeCell ref="C636:D636"/>
    <mergeCell ref="B591:O591"/>
    <mergeCell ref="C580:O580"/>
    <mergeCell ref="E298:F298"/>
    <mergeCell ref="B299:D299"/>
    <mergeCell ref="E299:F299"/>
    <mergeCell ref="B300:D300"/>
    <mergeCell ref="H636:J636"/>
    <mergeCell ref="L636:M636"/>
    <mergeCell ref="O636:P636"/>
    <mergeCell ref="O631:P631"/>
    <mergeCell ref="C632:D632"/>
    <mergeCell ref="H632:J632"/>
    <mergeCell ref="L632:M632"/>
    <mergeCell ref="P586:P587"/>
    <mergeCell ref="B577:F577"/>
    <mergeCell ref="C634:D634"/>
    <mergeCell ref="H634:J634"/>
    <mergeCell ref="L634:M634"/>
    <mergeCell ref="O634:P634"/>
    <mergeCell ref="O632:P632"/>
    <mergeCell ref="C633:D633"/>
    <mergeCell ref="H633:J633"/>
    <mergeCell ref="L633:M633"/>
    <mergeCell ref="O635:P635"/>
    <mergeCell ref="L635:M635"/>
    <mergeCell ref="C631:D631"/>
    <mergeCell ref="C626:E626"/>
    <mergeCell ref="F626:P626"/>
    <mergeCell ref="B627:P627"/>
    <mergeCell ref="B599:D599"/>
    <mergeCell ref="E599:F599"/>
    <mergeCell ref="G599:H599"/>
    <mergeCell ref="B625:P625"/>
    <mergeCell ref="B624:P624"/>
    <mergeCell ref="C622:D622"/>
    <mergeCell ref="E595:F595"/>
    <mergeCell ref="O629:P629"/>
    <mergeCell ref="C630:D630"/>
    <mergeCell ref="H630:J630"/>
    <mergeCell ref="C629:D629"/>
    <mergeCell ref="O633:P633"/>
    <mergeCell ref="F629:G629"/>
    <mergeCell ref="H629:J629"/>
    <mergeCell ref="L629:M629"/>
    <mergeCell ref="L630:M630"/>
    <mergeCell ref="O630:P630"/>
    <mergeCell ref="H631:J631"/>
    <mergeCell ref="L631:M631"/>
    <mergeCell ref="I599:J599"/>
    <mergeCell ref="B608:D608"/>
    <mergeCell ref="E608:F608"/>
    <mergeCell ref="F622:G622"/>
    <mergeCell ref="I622:L622"/>
    <mergeCell ref="M622:P622"/>
    <mergeCell ref="M616:P616"/>
    <mergeCell ref="I616:L616"/>
    <mergeCell ref="M618:P618"/>
    <mergeCell ref="I615:L615"/>
    <mergeCell ref="M615:P615"/>
    <mergeCell ref="C615:D615"/>
    <mergeCell ref="B605:D605"/>
    <mergeCell ref="K603:O608"/>
    <mergeCell ref="B602:D602"/>
    <mergeCell ref="E602:F602"/>
    <mergeCell ref="B603:D603"/>
    <mergeCell ref="C621:D621"/>
    <mergeCell ref="C620:D620"/>
    <mergeCell ref="F620:G620"/>
    <mergeCell ref="I620:L620"/>
    <mergeCell ref="M621:P621"/>
    <mergeCell ref="F621:G621"/>
    <mergeCell ref="I621:L621"/>
    <mergeCell ref="C618:D618"/>
    <mergeCell ref="F618:G618"/>
    <mergeCell ref="I618:L618"/>
    <mergeCell ref="B606:D606"/>
    <mergeCell ref="B607:D607"/>
    <mergeCell ref="E607:F607"/>
    <mergeCell ref="B601:D601"/>
    <mergeCell ref="E605:F605"/>
    <mergeCell ref="B628:P628"/>
    <mergeCell ref="P594:P609"/>
    <mergeCell ref="G608:H608"/>
    <mergeCell ref="I608:J608"/>
    <mergeCell ref="M620:P620"/>
    <mergeCell ref="I619:L619"/>
    <mergeCell ref="M619:P619"/>
    <mergeCell ref="C619:D619"/>
    <mergeCell ref="F619:G619"/>
    <mergeCell ref="C617:D617"/>
    <mergeCell ref="F617:G617"/>
    <mergeCell ref="I617:L617"/>
    <mergeCell ref="M617:P617"/>
    <mergeCell ref="C616:D616"/>
    <mergeCell ref="F616:G616"/>
    <mergeCell ref="I602:J602"/>
    <mergeCell ref="G603:H603"/>
    <mergeCell ref="B609:O609"/>
    <mergeCell ref="G607:H607"/>
    <mergeCell ref="E606:F606"/>
    <mergeCell ref="F615:G615"/>
    <mergeCell ref="I603:J603"/>
    <mergeCell ref="B593:O593"/>
    <mergeCell ref="E603:F603"/>
    <mergeCell ref="G600:H600"/>
    <mergeCell ref="I600:J600"/>
    <mergeCell ref="E568:F568"/>
    <mergeCell ref="C566:D566"/>
    <mergeCell ref="C567:D567"/>
    <mergeCell ref="E601:F601"/>
    <mergeCell ref="B596:D596"/>
    <mergeCell ref="E566:F566"/>
    <mergeCell ref="I568:J568"/>
    <mergeCell ref="I577:O577"/>
    <mergeCell ref="B578:O578"/>
    <mergeCell ref="B575:J575"/>
    <mergeCell ref="K566:O566"/>
    <mergeCell ref="B590:O590"/>
    <mergeCell ref="B585:O585"/>
    <mergeCell ref="B586:O586"/>
    <mergeCell ref="L588:O588"/>
    <mergeCell ref="B587:O587"/>
    <mergeCell ref="B583:N583"/>
    <mergeCell ref="C579:O579"/>
    <mergeCell ref="G601:H601"/>
    <mergeCell ref="I601:J601"/>
    <mergeCell ref="E600:F600"/>
    <mergeCell ref="E596:F596"/>
    <mergeCell ref="B597:D597"/>
    <mergeCell ref="E597:F597"/>
    <mergeCell ref="B598:D598"/>
    <mergeCell ref="E598:F598"/>
    <mergeCell ref="B600:D600"/>
    <mergeCell ref="I598:J598"/>
    <mergeCell ref="B614:P614"/>
    <mergeCell ref="I595:J595"/>
    <mergeCell ref="G596:H596"/>
    <mergeCell ref="I596:J596"/>
    <mergeCell ref="I607:J607"/>
    <mergeCell ref="B613:P613"/>
    <mergeCell ref="P590:P591"/>
    <mergeCell ref="B612:P612"/>
    <mergeCell ref="B604:D604"/>
    <mergeCell ref="E563:F563"/>
    <mergeCell ref="E565:F565"/>
    <mergeCell ref="G561:J561"/>
    <mergeCell ref="K561:O561"/>
    <mergeCell ref="L570:O570"/>
    <mergeCell ref="F454:K454"/>
    <mergeCell ref="B570:K570"/>
    <mergeCell ref="C569:D569"/>
    <mergeCell ref="G566:H566"/>
    <mergeCell ref="G568:H568"/>
    <mergeCell ref="M495:N495"/>
    <mergeCell ref="B493:O493"/>
    <mergeCell ref="I566:J566"/>
    <mergeCell ref="C568:D568"/>
    <mergeCell ref="E604:F604"/>
    <mergeCell ref="G563:O563"/>
    <mergeCell ref="E531:F531"/>
    <mergeCell ref="B556:O556"/>
    <mergeCell ref="B524:P524"/>
    <mergeCell ref="B525:O525"/>
    <mergeCell ref="C581:O581"/>
    <mergeCell ref="B588:K588"/>
    <mergeCell ref="B477:O477"/>
    <mergeCell ref="E394:F394"/>
    <mergeCell ref="B410:O410"/>
    <mergeCell ref="H418:J418"/>
    <mergeCell ref="I402:J402"/>
    <mergeCell ref="K402:O402"/>
    <mergeCell ref="I422:O422"/>
    <mergeCell ref="H389:O389"/>
    <mergeCell ref="F390:G390"/>
    <mergeCell ref="H390:O390"/>
    <mergeCell ref="F386:G386"/>
    <mergeCell ref="B384:O384"/>
    <mergeCell ref="G394:H394"/>
    <mergeCell ref="G551:H551"/>
    <mergeCell ref="I551:J551"/>
    <mergeCell ref="G549:H549"/>
    <mergeCell ref="I549:J549"/>
    <mergeCell ref="K393:O393"/>
    <mergeCell ref="C394:D394"/>
    <mergeCell ref="I394:J394"/>
    <mergeCell ref="C395:D395"/>
    <mergeCell ref="E401:F401"/>
    <mergeCell ref="G402:H402"/>
    <mergeCell ref="C418:G418"/>
    <mergeCell ref="L519:M519"/>
    <mergeCell ref="F519:K519"/>
    <mergeCell ref="C402:D402"/>
    <mergeCell ref="M505:N505"/>
    <mergeCell ref="M487:N487"/>
    <mergeCell ref="M498:N498"/>
    <mergeCell ref="M499:N499"/>
    <mergeCell ref="M500:N500"/>
    <mergeCell ref="E403:F403"/>
    <mergeCell ref="B363:O363"/>
    <mergeCell ref="H353:J353"/>
    <mergeCell ref="L353:N353"/>
    <mergeCell ref="C354:G354"/>
    <mergeCell ref="H354:J354"/>
    <mergeCell ref="B362:N362"/>
    <mergeCell ref="E377:F377"/>
    <mergeCell ref="E374:F374"/>
    <mergeCell ref="E379:F379"/>
    <mergeCell ref="B376:D376"/>
    <mergeCell ref="P518:P523"/>
    <mergeCell ref="P516:P517"/>
    <mergeCell ref="L520:M520"/>
    <mergeCell ref="F520:K520"/>
    <mergeCell ref="G397:O397"/>
    <mergeCell ref="P411:P412"/>
    <mergeCell ref="E405:F405"/>
    <mergeCell ref="L514:O514"/>
    <mergeCell ref="M457:N457"/>
    <mergeCell ref="B453:P453"/>
    <mergeCell ref="I423:O423"/>
    <mergeCell ref="E395:F395"/>
    <mergeCell ref="E397:F397"/>
    <mergeCell ref="I400:J400"/>
    <mergeCell ref="L420:N420"/>
    <mergeCell ref="B409:O409"/>
    <mergeCell ref="B383:P383"/>
    <mergeCell ref="B385:O385"/>
    <mergeCell ref="H388:O388"/>
    <mergeCell ref="P364:P380"/>
    <mergeCell ref="B391:O391"/>
    <mergeCell ref="F389:G389"/>
    <mergeCell ref="H387:O387"/>
    <mergeCell ref="G374:H374"/>
    <mergeCell ref="I374:J374"/>
    <mergeCell ref="B366:D366"/>
    <mergeCell ref="G377:H377"/>
    <mergeCell ref="I377:J377"/>
    <mergeCell ref="G378:H378"/>
    <mergeCell ref="I378:J378"/>
    <mergeCell ref="B377:D377"/>
    <mergeCell ref="C357:D357"/>
    <mergeCell ref="B361:N361"/>
    <mergeCell ref="B365:D365"/>
    <mergeCell ref="K364:O367"/>
    <mergeCell ref="E376:F376"/>
    <mergeCell ref="E378:F378"/>
    <mergeCell ref="I369:J369"/>
    <mergeCell ref="G370:H370"/>
    <mergeCell ref="K368:O372"/>
    <mergeCell ref="B386:E386"/>
    <mergeCell ref="E357:O357"/>
    <mergeCell ref="C358:D358"/>
    <mergeCell ref="E358:O358"/>
    <mergeCell ref="C359:D359"/>
    <mergeCell ref="E359:O359"/>
    <mergeCell ref="G372:H372"/>
    <mergeCell ref="B379:D379"/>
    <mergeCell ref="G371:H371"/>
    <mergeCell ref="I371:J371"/>
    <mergeCell ref="G379:H379"/>
    <mergeCell ref="I379:J379"/>
    <mergeCell ref="K375:O379"/>
    <mergeCell ref="B360:O360"/>
    <mergeCell ref="B392:O392"/>
    <mergeCell ref="G399:J399"/>
    <mergeCell ref="K399:O399"/>
    <mergeCell ref="H386:O386"/>
    <mergeCell ref="B387:E390"/>
    <mergeCell ref="F387:G387"/>
    <mergeCell ref="B378:D378"/>
    <mergeCell ref="B398:O39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C393:F393"/>
    <mergeCell ref="G393:J393"/>
    <mergeCell ref="C355:G355"/>
    <mergeCell ref="H355:J355"/>
    <mergeCell ref="L355:N355"/>
    <mergeCell ref="G347:H347"/>
    <mergeCell ref="K347:L347"/>
    <mergeCell ref="C347:D347"/>
    <mergeCell ref="E347:F347"/>
    <mergeCell ref="M340:N340"/>
    <mergeCell ref="B337:O337"/>
    <mergeCell ref="G339:H339"/>
    <mergeCell ref="G344:H344"/>
    <mergeCell ref="E324:F324"/>
    <mergeCell ref="P309:P310"/>
    <mergeCell ref="E330:I331"/>
    <mergeCell ref="C331:D331"/>
    <mergeCell ref="P312:P314"/>
    <mergeCell ref="B316:O316"/>
    <mergeCell ref="C317:F317"/>
    <mergeCell ref="G317:J317"/>
    <mergeCell ref="K317:O317"/>
    <mergeCell ref="G342:H342"/>
    <mergeCell ref="I342:J342"/>
    <mergeCell ref="D335:E335"/>
    <mergeCell ref="B312:O312"/>
    <mergeCell ref="F335:O335"/>
    <mergeCell ref="D336:E336"/>
    <mergeCell ref="B345:O345"/>
    <mergeCell ref="K343:L343"/>
    <mergeCell ref="M343:N343"/>
    <mergeCell ref="C344:D344"/>
    <mergeCell ref="C343:D343"/>
    <mergeCell ref="E343:F343"/>
    <mergeCell ref="K344:L344"/>
    <mergeCell ref="E318:F318"/>
    <mergeCell ref="G318:H318"/>
    <mergeCell ref="K319:O319"/>
    <mergeCell ref="C349:D349"/>
    <mergeCell ref="E349:F349"/>
    <mergeCell ref="M348:N348"/>
    <mergeCell ref="M349:N349"/>
    <mergeCell ref="C348:D348"/>
    <mergeCell ref="E348:F348"/>
    <mergeCell ref="G349:H349"/>
    <mergeCell ref="C353:G353"/>
    <mergeCell ref="I340:J340"/>
    <mergeCell ref="C282:D282"/>
    <mergeCell ref="E282:O282"/>
    <mergeCell ref="C283:D283"/>
    <mergeCell ref="E283:O283"/>
    <mergeCell ref="C284:D284"/>
    <mergeCell ref="C266:D266"/>
    <mergeCell ref="E266:F266"/>
    <mergeCell ref="G266:H266"/>
    <mergeCell ref="L278:N278"/>
    <mergeCell ref="M267:N267"/>
    <mergeCell ref="E269:F269"/>
    <mergeCell ref="G269:H269"/>
    <mergeCell ref="I269:J269"/>
    <mergeCell ref="K268:L268"/>
    <mergeCell ref="I272:J272"/>
    <mergeCell ref="K272:L272"/>
    <mergeCell ref="K273:L273"/>
    <mergeCell ref="M272:N272"/>
    <mergeCell ref="I273:J273"/>
    <mergeCell ref="M273:N273"/>
    <mergeCell ref="E273:F273"/>
    <mergeCell ref="C272:D272"/>
    <mergeCell ref="L279:N279"/>
    <mergeCell ref="I191:J191"/>
    <mergeCell ref="K191:L191"/>
    <mergeCell ref="M193:N193"/>
    <mergeCell ref="M191:N191"/>
    <mergeCell ref="C191:D191"/>
    <mergeCell ref="M197:N197"/>
    <mergeCell ref="C189:D189"/>
    <mergeCell ref="E189:F189"/>
    <mergeCell ref="G189:H189"/>
    <mergeCell ref="B194:O194"/>
    <mergeCell ref="C196:D196"/>
    <mergeCell ref="E196:F196"/>
    <mergeCell ref="G196:H196"/>
    <mergeCell ref="I196:J196"/>
    <mergeCell ref="K196:L196"/>
    <mergeCell ref="M196:N196"/>
    <mergeCell ref="K198:L198"/>
    <mergeCell ref="C198:D198"/>
    <mergeCell ref="M198:N198"/>
    <mergeCell ref="B134:N134"/>
    <mergeCell ref="L126:N126"/>
    <mergeCell ref="E169:F169"/>
    <mergeCell ref="G169:H169"/>
    <mergeCell ref="I169:J169"/>
    <mergeCell ref="K168:O168"/>
    <mergeCell ref="C167:D167"/>
    <mergeCell ref="E167:F167"/>
    <mergeCell ref="L204:N204"/>
    <mergeCell ref="C168:D168"/>
    <mergeCell ref="E139:F139"/>
    <mergeCell ref="B136:O136"/>
    <mergeCell ref="K137:O140"/>
    <mergeCell ref="K188:L188"/>
    <mergeCell ref="G193:H193"/>
    <mergeCell ref="I193:J193"/>
    <mergeCell ref="E190:F190"/>
    <mergeCell ref="G190:H190"/>
    <mergeCell ref="E192:F192"/>
    <mergeCell ref="G192:H192"/>
    <mergeCell ref="M189:N189"/>
    <mergeCell ref="C126:G126"/>
    <mergeCell ref="B129:O129"/>
    <mergeCell ref="M188:N188"/>
    <mergeCell ref="G197:H197"/>
    <mergeCell ref="F185:O185"/>
    <mergeCell ref="D183:E183"/>
    <mergeCell ref="F182:O182"/>
    <mergeCell ref="C188:D188"/>
    <mergeCell ref="C177:D177"/>
    <mergeCell ref="E177:F177"/>
    <mergeCell ref="G177:H177"/>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C52:G52"/>
    <mergeCell ref="B57:N57"/>
    <mergeCell ref="G32:H32"/>
    <mergeCell ref="I32:J32"/>
    <mergeCell ref="M34:N34"/>
    <mergeCell ref="C33:D33"/>
    <mergeCell ref="E33:F33"/>
    <mergeCell ref="G33:H33"/>
    <mergeCell ref="I33:J33"/>
    <mergeCell ref="C34:D34"/>
    <mergeCell ref="E34:F34"/>
    <mergeCell ref="K33:L33"/>
    <mergeCell ref="M33:N33"/>
    <mergeCell ref="G35:H35"/>
    <mergeCell ref="F47:O47"/>
    <mergeCell ref="M31:N31"/>
    <mergeCell ref="D47:E47"/>
    <mergeCell ref="G39:H39"/>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5:D25"/>
    <mergeCell ref="N12:O12"/>
    <mergeCell ref="E18:F18"/>
    <mergeCell ref="G19:H19"/>
    <mergeCell ref="G20:H20"/>
    <mergeCell ref="I35:J35"/>
    <mergeCell ref="G34:H34"/>
    <mergeCell ref="I34:J34"/>
    <mergeCell ref="K34:L34"/>
    <mergeCell ref="K35:L35"/>
    <mergeCell ref="M35:N35"/>
    <mergeCell ref="C24:D24"/>
    <mergeCell ref="C35:D35"/>
    <mergeCell ref="E35:F35"/>
    <mergeCell ref="C27:D27"/>
    <mergeCell ref="E26:J27"/>
    <mergeCell ref="K32:L32"/>
    <mergeCell ref="M32:N32"/>
    <mergeCell ref="E29:F29"/>
    <mergeCell ref="I29:J29"/>
    <mergeCell ref="C31:D31"/>
    <mergeCell ref="E31:F31"/>
    <mergeCell ref="B28:O28"/>
    <mergeCell ref="G31:H31"/>
    <mergeCell ref="I31:J31"/>
    <mergeCell ref="C30:D30"/>
    <mergeCell ref="K31:L31"/>
    <mergeCell ref="G24:H24"/>
    <mergeCell ref="E24:F24"/>
    <mergeCell ref="I23:J23"/>
    <mergeCell ref="B69:D69"/>
    <mergeCell ref="B66:D66"/>
    <mergeCell ref="B72:D72"/>
    <mergeCell ref="E77:F77"/>
    <mergeCell ref="E75:F75"/>
    <mergeCell ref="E30:F30"/>
    <mergeCell ref="G30:H30"/>
    <mergeCell ref="K23:O23"/>
    <mergeCell ref="G21:O21"/>
    <mergeCell ref="I19:J19"/>
    <mergeCell ref="I20:J20"/>
    <mergeCell ref="I30:J30"/>
    <mergeCell ref="K22:N22"/>
    <mergeCell ref="B22:J22"/>
    <mergeCell ref="E19:F19"/>
    <mergeCell ref="E20:F20"/>
    <mergeCell ref="K26:N26"/>
    <mergeCell ref="K27:O27"/>
    <mergeCell ref="I24:J24"/>
    <mergeCell ref="K24:O24"/>
    <mergeCell ref="G72:H72"/>
    <mergeCell ref="I73:J73"/>
    <mergeCell ref="G74:H74"/>
    <mergeCell ref="I74:J74"/>
    <mergeCell ref="G76:H76"/>
    <mergeCell ref="I76:J76"/>
    <mergeCell ref="I72:J72"/>
    <mergeCell ref="C32:D32"/>
    <mergeCell ref="E32:F32"/>
    <mergeCell ref="B67:D67"/>
    <mergeCell ref="B61:D61"/>
    <mergeCell ref="G69:H69"/>
    <mergeCell ref="I69:J69"/>
    <mergeCell ref="I70:J70"/>
    <mergeCell ref="I64:J64"/>
    <mergeCell ref="G65:H65"/>
    <mergeCell ref="D55:E55"/>
    <mergeCell ref="L52:N52"/>
    <mergeCell ref="C51:G51"/>
    <mergeCell ref="H51:J51"/>
    <mergeCell ref="G67:H67"/>
    <mergeCell ref="I68:J68"/>
    <mergeCell ref="G70:H70"/>
    <mergeCell ref="I67:J67"/>
    <mergeCell ref="B64:D64"/>
    <mergeCell ref="B70:D70"/>
    <mergeCell ref="G68:H68"/>
    <mergeCell ref="B88:O88"/>
    <mergeCell ref="E69:F69"/>
    <mergeCell ref="E67:F67"/>
    <mergeCell ref="G71:H71"/>
    <mergeCell ref="B60:F60"/>
    <mergeCell ref="G61:H61"/>
    <mergeCell ref="W18:X18"/>
    <mergeCell ref="E23:F23"/>
    <mergeCell ref="V17:Y1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I71:J71"/>
    <mergeCell ref="G66:H66"/>
    <mergeCell ref="I66:J66"/>
    <mergeCell ref="E64:F64"/>
    <mergeCell ref="P50:P52"/>
    <mergeCell ref="F54:O54"/>
    <mergeCell ref="F55:O55"/>
    <mergeCell ref="B53:O53"/>
    <mergeCell ref="D54:E54"/>
    <mergeCell ref="I62:J62"/>
    <mergeCell ref="G63:H63"/>
    <mergeCell ref="I63:J63"/>
    <mergeCell ref="I177:J177"/>
    <mergeCell ref="K177:O177"/>
    <mergeCell ref="K190:L190"/>
    <mergeCell ref="C190:D190"/>
    <mergeCell ref="B186:O186"/>
    <mergeCell ref="M192:N192"/>
    <mergeCell ref="K193:L193"/>
    <mergeCell ref="F184:O184"/>
    <mergeCell ref="K189:L189"/>
    <mergeCell ref="D185:E185"/>
    <mergeCell ref="B160:O160"/>
    <mergeCell ref="R206:R208"/>
    <mergeCell ref="R210:S211"/>
    <mergeCell ref="R238:R239"/>
    <mergeCell ref="B234:O234"/>
    <mergeCell ref="R234:R235"/>
    <mergeCell ref="P214:P230"/>
    <mergeCell ref="P165:P180"/>
    <mergeCell ref="C174:D174"/>
    <mergeCell ref="E174:F174"/>
    <mergeCell ref="G174:O174"/>
    <mergeCell ref="E172:F172"/>
    <mergeCell ref="G172:H172"/>
    <mergeCell ref="I172:J172"/>
    <mergeCell ref="E170:F170"/>
    <mergeCell ref="G170:O170"/>
    <mergeCell ref="C169:D169"/>
    <mergeCell ref="E198:F198"/>
    <mergeCell ref="G198:H198"/>
    <mergeCell ref="E206:O206"/>
    <mergeCell ref="B209:O209"/>
    <mergeCell ref="B212:O212"/>
    <mergeCell ref="I151:J151"/>
    <mergeCell ref="G148:H148"/>
    <mergeCell ref="I148:J148"/>
    <mergeCell ref="G149:H149"/>
    <mergeCell ref="I149:J149"/>
    <mergeCell ref="G146:H146"/>
    <mergeCell ref="I146:J146"/>
    <mergeCell ref="G147:H147"/>
    <mergeCell ref="B137:F137"/>
    <mergeCell ref="R157:R158"/>
    <mergeCell ref="B158:O158"/>
    <mergeCell ref="B159:P159"/>
    <mergeCell ref="P157:P158"/>
    <mergeCell ref="B145:D145"/>
    <mergeCell ref="E145:F145"/>
    <mergeCell ref="C173:D173"/>
    <mergeCell ref="E173:F173"/>
    <mergeCell ref="P160:P162"/>
    <mergeCell ref="B139:D139"/>
    <mergeCell ref="B138:D138"/>
    <mergeCell ref="E138:F138"/>
    <mergeCell ref="I142:J142"/>
    <mergeCell ref="K245:O245"/>
    <mergeCell ref="G249:H249"/>
    <mergeCell ref="I249:J249"/>
    <mergeCell ref="B239:O239"/>
    <mergeCell ref="B222:D222"/>
    <mergeCell ref="B235:O235"/>
    <mergeCell ref="B236:P236"/>
    <mergeCell ref="I243:J243"/>
    <mergeCell ref="G246:O246"/>
    <mergeCell ref="C245:D245"/>
    <mergeCell ref="P201:P204"/>
    <mergeCell ref="C207:D207"/>
    <mergeCell ref="B206:B208"/>
    <mergeCell ref="C206:D206"/>
    <mergeCell ref="B216:D216"/>
    <mergeCell ref="E207:O207"/>
    <mergeCell ref="E216:F216"/>
    <mergeCell ref="G229:H229"/>
    <mergeCell ref="G221:H221"/>
    <mergeCell ref="P237:P239"/>
    <mergeCell ref="C201:G201"/>
    <mergeCell ref="H201:J201"/>
    <mergeCell ref="G228:H228"/>
    <mergeCell ref="B210:N210"/>
    <mergeCell ref="H203:J203"/>
    <mergeCell ref="G217:H217"/>
    <mergeCell ref="I217:J217"/>
    <mergeCell ref="E223:F223"/>
    <mergeCell ref="E221:F221"/>
    <mergeCell ref="C203:G203"/>
    <mergeCell ref="L203:N203"/>
    <mergeCell ref="B227:D227"/>
    <mergeCell ref="C208:D208"/>
    <mergeCell ref="E208:O20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E143:F143"/>
    <mergeCell ref="K192:L192"/>
    <mergeCell ref="B150:D150"/>
    <mergeCell ref="B149:D149"/>
    <mergeCell ref="B148:D148"/>
    <mergeCell ref="P137:P153"/>
    <mergeCell ref="E152:F152"/>
    <mergeCell ref="E149:F149"/>
    <mergeCell ref="I150:J150"/>
    <mergeCell ref="G141:H141"/>
    <mergeCell ref="G144:H144"/>
    <mergeCell ref="I144:J144"/>
    <mergeCell ref="G142:H142"/>
    <mergeCell ref="B240:O240"/>
    <mergeCell ref="B213:O213"/>
    <mergeCell ref="G218:H218"/>
    <mergeCell ref="I218:J218"/>
    <mergeCell ref="G215:H215"/>
    <mergeCell ref="I215:J215"/>
    <mergeCell ref="G216:H216"/>
    <mergeCell ref="I229:J229"/>
    <mergeCell ref="I228:J228"/>
    <mergeCell ref="E220:F220"/>
    <mergeCell ref="E218:F218"/>
    <mergeCell ref="B218:D218"/>
    <mergeCell ref="B223:D223"/>
    <mergeCell ref="G245:H245"/>
    <mergeCell ref="E243:F243"/>
    <mergeCell ref="C246:D246"/>
    <mergeCell ref="E246:F246"/>
    <mergeCell ref="C244:D244"/>
    <mergeCell ref="I244:J244"/>
    <mergeCell ref="K244:O244"/>
    <mergeCell ref="G243:H243"/>
    <mergeCell ref="I225:J225"/>
    <mergeCell ref="E222:F222"/>
    <mergeCell ref="B219:D219"/>
    <mergeCell ref="E224:F224"/>
    <mergeCell ref="I216:J216"/>
    <mergeCell ref="I221:J221"/>
    <mergeCell ref="G222:H222"/>
    <mergeCell ref="I222:J222"/>
    <mergeCell ref="G223:H223"/>
    <mergeCell ref="I223:J223"/>
    <mergeCell ref="G224:H224"/>
    <mergeCell ref="C243:D243"/>
    <mergeCell ref="E265:F265"/>
    <mergeCell ref="K243:O243"/>
    <mergeCell ref="I245:J245"/>
    <mergeCell ref="I293:J293"/>
    <mergeCell ref="I267:J267"/>
    <mergeCell ref="C267:D267"/>
    <mergeCell ref="E272:F272"/>
    <mergeCell ref="K269:L269"/>
    <mergeCell ref="M269:N269"/>
    <mergeCell ref="E274:F274"/>
    <mergeCell ref="K267:L267"/>
    <mergeCell ref="E290:F290"/>
    <mergeCell ref="E244:F244"/>
    <mergeCell ref="C264:D264"/>
    <mergeCell ref="F261:O261"/>
    <mergeCell ref="I292:J292"/>
    <mergeCell ref="M266:N266"/>
    <mergeCell ref="C252:D252"/>
    <mergeCell ref="E252:F252"/>
    <mergeCell ref="G252:H252"/>
    <mergeCell ref="I252:J252"/>
    <mergeCell ref="K252:O252"/>
    <mergeCell ref="C248:D248"/>
    <mergeCell ref="G289:J289"/>
    <mergeCell ref="B281:O281"/>
    <mergeCell ref="B282:B284"/>
    <mergeCell ref="G244:H244"/>
    <mergeCell ref="B247:J247"/>
    <mergeCell ref="L277:O277"/>
    <mergeCell ref="B270:O270"/>
    <mergeCell ref="E268:F268"/>
    <mergeCell ref="B241:O241"/>
    <mergeCell ref="J255:N255"/>
    <mergeCell ref="J256:O256"/>
    <mergeCell ref="D258:E258"/>
    <mergeCell ref="C204:G204"/>
    <mergeCell ref="E217:F217"/>
    <mergeCell ref="B221:D221"/>
    <mergeCell ref="B237:O237"/>
    <mergeCell ref="B238:O238"/>
    <mergeCell ref="E228:F228"/>
    <mergeCell ref="B225:D225"/>
    <mergeCell ref="E225:F225"/>
    <mergeCell ref="B226:D226"/>
    <mergeCell ref="E226:F226"/>
    <mergeCell ref="B220:D220"/>
    <mergeCell ref="B228:D228"/>
    <mergeCell ref="B215:D215"/>
    <mergeCell ref="E215:F215"/>
    <mergeCell ref="B214:F214"/>
    <mergeCell ref="G214:J214"/>
    <mergeCell ref="G242:J242"/>
    <mergeCell ref="K242:O242"/>
    <mergeCell ref="B229:D229"/>
    <mergeCell ref="E229:F229"/>
    <mergeCell ref="B217:D217"/>
    <mergeCell ref="H204:J204"/>
    <mergeCell ref="B205:O205"/>
    <mergeCell ref="I227:J227"/>
    <mergeCell ref="G225:H225"/>
    <mergeCell ref="B257:O257"/>
    <mergeCell ref="B258:C261"/>
    <mergeCell ref="E227:F227"/>
    <mergeCell ref="P241:P256"/>
    <mergeCell ref="I248:J248"/>
    <mergeCell ref="C242:F242"/>
    <mergeCell ref="I368:J368"/>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C265:D265"/>
    <mergeCell ref="B262:O262"/>
    <mergeCell ref="E284:O284"/>
    <mergeCell ref="C268:D268"/>
    <mergeCell ref="C253:D253"/>
    <mergeCell ref="E267:F267"/>
    <mergeCell ref="E248:F248"/>
    <mergeCell ref="B309:O309"/>
    <mergeCell ref="G295:H295"/>
    <mergeCell ref="B287:N287"/>
    <mergeCell ref="B290:D290"/>
    <mergeCell ref="B303:D303"/>
    <mergeCell ref="E303:F303"/>
    <mergeCell ref="E301:F301"/>
    <mergeCell ref="K274:L274"/>
    <mergeCell ref="AM392:AM395"/>
    <mergeCell ref="AL392:AL395"/>
    <mergeCell ref="AK392:AK395"/>
    <mergeCell ref="I395:J395"/>
    <mergeCell ref="K394:O394"/>
    <mergeCell ref="K395:O395"/>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C403:D403"/>
    <mergeCell ref="AD403:AG403"/>
    <mergeCell ref="G400:H400"/>
    <mergeCell ref="E402:F402"/>
    <mergeCell ref="C400:D400"/>
    <mergeCell ref="C407:D407"/>
    <mergeCell ref="G406:H406"/>
    <mergeCell ref="C401:D401"/>
    <mergeCell ref="C397:D397"/>
    <mergeCell ref="G395:H395"/>
    <mergeCell ref="AM403:AM406"/>
    <mergeCell ref="AJ403:AJ406"/>
    <mergeCell ref="AK403:AK406"/>
    <mergeCell ref="B414:O414"/>
    <mergeCell ref="C412:O412"/>
    <mergeCell ref="B527:F527"/>
    <mergeCell ref="K531:O537"/>
    <mergeCell ref="C518:E518"/>
    <mergeCell ref="E406:F406"/>
    <mergeCell ref="F483:K483"/>
    <mergeCell ref="F474:K474"/>
    <mergeCell ref="F446:K446"/>
    <mergeCell ref="M468:N468"/>
    <mergeCell ref="E535:F535"/>
    <mergeCell ref="M502:N502"/>
    <mergeCell ref="N522:O522"/>
    <mergeCell ref="C521:E521"/>
    <mergeCell ref="N520:O520"/>
    <mergeCell ref="N521:O521"/>
    <mergeCell ref="B512:O512"/>
    <mergeCell ref="B532:D532"/>
    <mergeCell ref="B514:K514"/>
    <mergeCell ref="I531:J531"/>
    <mergeCell ref="G532:H532"/>
    <mergeCell ref="F501:K501"/>
    <mergeCell ref="F495:K495"/>
    <mergeCell ref="G422:H422"/>
    <mergeCell ref="B444:K444"/>
    <mergeCell ref="H419:J419"/>
    <mergeCell ref="L419:N419"/>
    <mergeCell ref="M488:N488"/>
    <mergeCell ref="F464:K464"/>
    <mergeCell ref="M456:N456"/>
    <mergeCell ref="H427:J427"/>
    <mergeCell ref="K427:L427"/>
    <mergeCell ref="K428:L428"/>
    <mergeCell ref="H429:J429"/>
    <mergeCell ref="F462:K462"/>
    <mergeCell ref="M467:N467"/>
    <mergeCell ref="F461:K461"/>
    <mergeCell ref="M465:O465"/>
    <mergeCell ref="B429:F429"/>
    <mergeCell ref="B431:F431"/>
    <mergeCell ref="M472:N472"/>
    <mergeCell ref="B442:P442"/>
    <mergeCell ref="B437:O437"/>
    <mergeCell ref="B438:F439"/>
    <mergeCell ref="L438:N438"/>
    <mergeCell ref="L439:N439"/>
    <mergeCell ref="G439:K439"/>
    <mergeCell ref="G431:N431"/>
    <mergeCell ref="F467:K467"/>
    <mergeCell ref="F470:K470"/>
    <mergeCell ref="F463:K463"/>
    <mergeCell ref="W562:X562"/>
    <mergeCell ref="B557:O557"/>
    <mergeCell ref="I548:J548"/>
    <mergeCell ref="B559:O559"/>
    <mergeCell ref="E528:F528"/>
    <mergeCell ref="M470:N470"/>
    <mergeCell ref="M474:N474"/>
    <mergeCell ref="F475:K475"/>
    <mergeCell ref="M496:N496"/>
    <mergeCell ref="M497:N497"/>
    <mergeCell ref="F480:K480"/>
    <mergeCell ref="M445:N445"/>
    <mergeCell ref="F456:K456"/>
    <mergeCell ref="M450:N450"/>
    <mergeCell ref="F489:K489"/>
    <mergeCell ref="M489:N489"/>
    <mergeCell ref="F488:K488"/>
    <mergeCell ref="F521:K521"/>
    <mergeCell ref="B528:D528"/>
    <mergeCell ref="B451:O451"/>
    <mergeCell ref="F449:K449"/>
    <mergeCell ref="M461:N461"/>
    <mergeCell ref="M462:N462"/>
    <mergeCell ref="M463:N463"/>
    <mergeCell ref="F448:K448"/>
    <mergeCell ref="B517:O517"/>
    <mergeCell ref="B515:O515"/>
    <mergeCell ref="B446:D450"/>
    <mergeCell ref="B523:O523"/>
    <mergeCell ref="B558:O558"/>
    <mergeCell ref="M479:N479"/>
    <mergeCell ref="M469:N469"/>
    <mergeCell ref="K564:O564"/>
    <mergeCell ref="AL565:AL568"/>
    <mergeCell ref="AM565:AM568"/>
    <mergeCell ref="AJ565:AJ568"/>
    <mergeCell ref="AK565:AK568"/>
    <mergeCell ref="E550:F550"/>
    <mergeCell ref="B547:D547"/>
    <mergeCell ref="B550:D550"/>
    <mergeCell ref="E547:F547"/>
    <mergeCell ref="E548:F548"/>
    <mergeCell ref="B548:D548"/>
    <mergeCell ref="B553:D553"/>
    <mergeCell ref="E553:F553"/>
    <mergeCell ref="B551:D551"/>
    <mergeCell ref="B552:D552"/>
    <mergeCell ref="E551:F551"/>
    <mergeCell ref="E552:F552"/>
    <mergeCell ref="V561:Y561"/>
    <mergeCell ref="T560:U560"/>
    <mergeCell ref="AI565:AI568"/>
    <mergeCell ref="C563:D563"/>
    <mergeCell ref="C564:D564"/>
    <mergeCell ref="C565:D565"/>
    <mergeCell ref="AD565:AG565"/>
    <mergeCell ref="AD566:AG566"/>
    <mergeCell ref="B560:O560"/>
    <mergeCell ref="C562:D562"/>
    <mergeCell ref="G565:O565"/>
    <mergeCell ref="G562:H562"/>
    <mergeCell ref="C561:F561"/>
    <mergeCell ref="E549:F549"/>
    <mergeCell ref="G547:H547"/>
    <mergeCell ref="G530:H530"/>
    <mergeCell ref="I530:J530"/>
    <mergeCell ref="I547:J547"/>
    <mergeCell ref="G534:H534"/>
    <mergeCell ref="I533:J533"/>
    <mergeCell ref="G564:H564"/>
    <mergeCell ref="B536:D536"/>
    <mergeCell ref="B537:D537"/>
    <mergeCell ref="E537:F537"/>
    <mergeCell ref="B533:D533"/>
    <mergeCell ref="G577:H577"/>
    <mergeCell ref="G548:H548"/>
    <mergeCell ref="G538:H538"/>
    <mergeCell ref="I538:J538"/>
    <mergeCell ref="B538:D538"/>
    <mergeCell ref="B592:O592"/>
    <mergeCell ref="B572:O572"/>
    <mergeCell ref="B571:O571"/>
    <mergeCell ref="E562:F562"/>
    <mergeCell ref="K562:O562"/>
    <mergeCell ref="B541:D541"/>
    <mergeCell ref="E541:F541"/>
    <mergeCell ref="B539:D539"/>
    <mergeCell ref="E539:F539"/>
    <mergeCell ref="E538:F538"/>
    <mergeCell ref="B542:D542"/>
    <mergeCell ref="G553:H553"/>
    <mergeCell ref="I553:J553"/>
    <mergeCell ref="E542:F542"/>
    <mergeCell ref="B535:D535"/>
    <mergeCell ref="B545:B546"/>
    <mergeCell ref="G544:H544"/>
    <mergeCell ref="G595:H595"/>
    <mergeCell ref="B589:O589"/>
    <mergeCell ref="B595:D595"/>
    <mergeCell ref="L418:O418"/>
    <mergeCell ref="G396:O396"/>
    <mergeCell ref="H426:O426"/>
    <mergeCell ref="B428:G428"/>
    <mergeCell ref="C404:D404"/>
    <mergeCell ref="C405:D405"/>
    <mergeCell ref="C416:O416"/>
    <mergeCell ref="C406:D406"/>
    <mergeCell ref="C413:O413"/>
    <mergeCell ref="I404:J404"/>
    <mergeCell ref="C415:O415"/>
    <mergeCell ref="E404:F404"/>
    <mergeCell ref="B421:O421"/>
    <mergeCell ref="B422:F422"/>
    <mergeCell ref="E407:F407"/>
    <mergeCell ref="F450:K450"/>
    <mergeCell ref="B452:O452"/>
    <mergeCell ref="G423:H423"/>
    <mergeCell ref="B424:O424"/>
    <mergeCell ref="G404:H404"/>
    <mergeCell ref="C396:D396"/>
    <mergeCell ref="G403:O403"/>
    <mergeCell ref="G405:O405"/>
    <mergeCell ref="K404:O404"/>
    <mergeCell ref="K406:O406"/>
    <mergeCell ref="G434:K434"/>
    <mergeCell ref="L434:N434"/>
    <mergeCell ref="H430:J430"/>
    <mergeCell ref="K430:L430"/>
    <mergeCell ref="B426:F426"/>
    <mergeCell ref="C419:G419"/>
    <mergeCell ref="B411:O411"/>
    <mergeCell ref="E532:F532"/>
    <mergeCell ref="B531:D531"/>
    <mergeCell ref="G540:H540"/>
    <mergeCell ref="I550:J550"/>
    <mergeCell ref="G552:H552"/>
    <mergeCell ref="I552:J552"/>
    <mergeCell ref="M486:N486"/>
    <mergeCell ref="G438:K438"/>
    <mergeCell ref="P512:P513"/>
    <mergeCell ref="G541:H541"/>
    <mergeCell ref="I541:J541"/>
    <mergeCell ref="G542:H542"/>
    <mergeCell ref="B540:D540"/>
    <mergeCell ref="P427:P430"/>
    <mergeCell ref="I543:J543"/>
    <mergeCell ref="I535:J535"/>
    <mergeCell ref="G536:H536"/>
    <mergeCell ref="P438:P439"/>
    <mergeCell ref="B433:O433"/>
    <mergeCell ref="M449:N449"/>
    <mergeCell ref="B465:L465"/>
    <mergeCell ref="F497:K497"/>
    <mergeCell ref="F502:K502"/>
    <mergeCell ref="M471:N471"/>
    <mergeCell ref="E540:F540"/>
    <mergeCell ref="F476:K476"/>
    <mergeCell ref="M476:N476"/>
    <mergeCell ref="M473:N473"/>
    <mergeCell ref="F468:K468"/>
    <mergeCell ref="B543:B544"/>
    <mergeCell ref="B549:D549"/>
    <mergeCell ref="I536:J536"/>
    <mergeCell ref="G537:H537"/>
    <mergeCell ref="I542:J542"/>
    <mergeCell ref="G546:H546"/>
    <mergeCell ref="G543:H543"/>
    <mergeCell ref="I564:J564"/>
    <mergeCell ref="K575:O575"/>
    <mergeCell ref="E573:O573"/>
    <mergeCell ref="B573:D573"/>
    <mergeCell ref="E564:F564"/>
    <mergeCell ref="E567:F567"/>
    <mergeCell ref="G550:H550"/>
    <mergeCell ref="M491:N491"/>
    <mergeCell ref="K527:O530"/>
    <mergeCell ref="I534:J534"/>
    <mergeCell ref="E529:F529"/>
    <mergeCell ref="E530:F530"/>
    <mergeCell ref="L518:M518"/>
    <mergeCell ref="L521:M521"/>
    <mergeCell ref="L522:M522"/>
    <mergeCell ref="N518:O518"/>
    <mergeCell ref="N519:O519"/>
    <mergeCell ref="B506:O506"/>
    <mergeCell ref="B508:O508"/>
    <mergeCell ref="M501:N501"/>
    <mergeCell ref="C522:E522"/>
    <mergeCell ref="G533:H533"/>
    <mergeCell ref="C519:E519"/>
    <mergeCell ref="C520:E520"/>
    <mergeCell ref="G529:H529"/>
    <mergeCell ref="I529:J529"/>
    <mergeCell ref="I532:J532"/>
    <mergeCell ref="G527:J527"/>
    <mergeCell ref="I562:J562"/>
    <mergeCell ref="K538:O543"/>
    <mergeCell ref="I546:J546"/>
    <mergeCell ref="F491:K491"/>
    <mergeCell ref="I99:J99"/>
    <mergeCell ref="E99:F99"/>
    <mergeCell ref="K98:N98"/>
    <mergeCell ref="G101:O101"/>
    <mergeCell ref="L128:N128"/>
    <mergeCell ref="E130:O130"/>
    <mergeCell ref="E131:O131"/>
    <mergeCell ref="K141:O145"/>
    <mergeCell ref="K115:L115"/>
    <mergeCell ref="G99:H99"/>
    <mergeCell ref="I100:J100"/>
    <mergeCell ref="G100:H100"/>
    <mergeCell ref="D106:E106"/>
    <mergeCell ref="D107:E107"/>
    <mergeCell ref="D108:E108"/>
    <mergeCell ref="B105:O105"/>
    <mergeCell ref="C112:D112"/>
    <mergeCell ref="E141:F141"/>
    <mergeCell ref="I141:J141"/>
    <mergeCell ref="E111:F111"/>
    <mergeCell ref="I111:J111"/>
    <mergeCell ref="M111:N111"/>
    <mergeCell ref="E100:F100"/>
    <mergeCell ref="D109:E109"/>
    <mergeCell ref="C120:D120"/>
    <mergeCell ref="B135:N135"/>
    <mergeCell ref="B133:O133"/>
    <mergeCell ref="K121:L121"/>
    <mergeCell ref="I226:J226"/>
    <mergeCell ref="G227:H227"/>
    <mergeCell ref="E219:F219"/>
    <mergeCell ref="G173:H173"/>
    <mergeCell ref="I173:J173"/>
    <mergeCell ref="K173:O173"/>
    <mergeCell ref="E176:F176"/>
    <mergeCell ref="I176:J176"/>
    <mergeCell ref="C93:D93"/>
    <mergeCell ref="L201:O201"/>
    <mergeCell ref="C202:G202"/>
    <mergeCell ref="H202:J202"/>
    <mergeCell ref="L202:N202"/>
    <mergeCell ref="B211:N211"/>
    <mergeCell ref="K214:O217"/>
    <mergeCell ref="K218:O222"/>
    <mergeCell ref="K122:L122"/>
    <mergeCell ref="M122:N122"/>
    <mergeCell ref="I122:J122"/>
    <mergeCell ref="B123:O123"/>
    <mergeCell ref="B130:B132"/>
    <mergeCell ref="B157:O157"/>
    <mergeCell ref="C192:D192"/>
    <mergeCell ref="C128:G128"/>
    <mergeCell ref="F106:O106"/>
    <mergeCell ref="K113:L113"/>
    <mergeCell ref="M113:N113"/>
    <mergeCell ref="C116:D116"/>
    <mergeCell ref="E95:F95"/>
    <mergeCell ref="E120:F120"/>
    <mergeCell ref="E144:F144"/>
    <mergeCell ref="B141:D141"/>
    <mergeCell ref="B144:D144"/>
    <mergeCell ref="C130:D130"/>
    <mergeCell ref="C131:D131"/>
    <mergeCell ref="C125:G125"/>
    <mergeCell ref="H126:J126"/>
    <mergeCell ref="H127:J127"/>
    <mergeCell ref="H128:J128"/>
    <mergeCell ref="K247:N247"/>
    <mergeCell ref="E132:O132"/>
    <mergeCell ref="C132:D132"/>
    <mergeCell ref="E151:F151"/>
    <mergeCell ref="E140:F140"/>
    <mergeCell ref="D184:E184"/>
    <mergeCell ref="I152:J152"/>
    <mergeCell ref="B181:O181"/>
    <mergeCell ref="G176:H176"/>
    <mergeCell ref="K175:N175"/>
    <mergeCell ref="C178:D178"/>
    <mergeCell ref="G178:O178"/>
    <mergeCell ref="K176:O176"/>
    <mergeCell ref="K171:N171"/>
    <mergeCell ref="C172:D172"/>
    <mergeCell ref="M190:N190"/>
    <mergeCell ref="I219:J219"/>
    <mergeCell ref="G220:H220"/>
    <mergeCell ref="I220:J220"/>
    <mergeCell ref="B182:C185"/>
    <mergeCell ref="D182:E182"/>
    <mergeCell ref="I224:J224"/>
    <mergeCell ref="K248:O248"/>
    <mergeCell ref="E253:F253"/>
    <mergeCell ref="G253:H253"/>
    <mergeCell ref="M274:N274"/>
    <mergeCell ref="G248:H248"/>
    <mergeCell ref="I189:J189"/>
    <mergeCell ref="E245:F245"/>
    <mergeCell ref="I147:J147"/>
    <mergeCell ref="G145:H145"/>
    <mergeCell ref="I145:J145"/>
    <mergeCell ref="G143:H143"/>
    <mergeCell ref="I143:J143"/>
    <mergeCell ref="E146:F146"/>
    <mergeCell ref="G150:H150"/>
    <mergeCell ref="E150:F150"/>
    <mergeCell ref="B161:O161"/>
    <mergeCell ref="B162:O162"/>
    <mergeCell ref="I167:J167"/>
    <mergeCell ref="B163:O163"/>
    <mergeCell ref="B165:O165"/>
    <mergeCell ref="K172:O172"/>
    <mergeCell ref="K169:O169"/>
    <mergeCell ref="C170:D170"/>
    <mergeCell ref="I198:J198"/>
    <mergeCell ref="B175:J175"/>
    <mergeCell ref="B171:J171"/>
    <mergeCell ref="J179:N179"/>
    <mergeCell ref="B224:D224"/>
    <mergeCell ref="J180:O180"/>
    <mergeCell ref="B151:D151"/>
    <mergeCell ref="G219:H219"/>
    <mergeCell ref="G226:H226"/>
    <mergeCell ref="C278:G278"/>
    <mergeCell ref="H278:J278"/>
    <mergeCell ref="C249:D249"/>
    <mergeCell ref="E249:F249"/>
    <mergeCell ref="F258:O258"/>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53:J253"/>
    <mergeCell ref="K253:O253"/>
    <mergeCell ref="F260:O260"/>
    <mergeCell ref="B275:O275"/>
    <mergeCell ref="C277:G277"/>
    <mergeCell ref="H277:J277"/>
    <mergeCell ref="G272:H272"/>
    <mergeCell ref="G273:H273"/>
    <mergeCell ref="G274:H274"/>
    <mergeCell ref="C263:D263"/>
    <mergeCell ref="E263:F263"/>
    <mergeCell ref="I263:J263"/>
    <mergeCell ref="G267:H267"/>
    <mergeCell ref="E400:F400"/>
    <mergeCell ref="M482:N482"/>
    <mergeCell ref="B408:O408"/>
    <mergeCell ref="B510:O510"/>
    <mergeCell ref="F479:K479"/>
    <mergeCell ref="M480:N480"/>
    <mergeCell ref="F469:K469"/>
    <mergeCell ref="E329:F329"/>
    <mergeCell ref="M429:N429"/>
    <mergeCell ref="B417:O417"/>
    <mergeCell ref="H420:J420"/>
    <mergeCell ref="M430:N430"/>
    <mergeCell ref="B423:F423"/>
    <mergeCell ref="C420:G420"/>
    <mergeCell ref="B425:O425"/>
    <mergeCell ref="L435:N435"/>
    <mergeCell ref="G435:K435"/>
    <mergeCell ref="F473:K473"/>
    <mergeCell ref="B492:O492"/>
    <mergeCell ref="M444:P444"/>
    <mergeCell ref="P434:P435"/>
    <mergeCell ref="M448:N448"/>
    <mergeCell ref="H428:J428"/>
    <mergeCell ref="L444:L445"/>
    <mergeCell ref="F447:K447"/>
    <mergeCell ref="B427:F427"/>
    <mergeCell ref="B443:P443"/>
    <mergeCell ref="K429:L429"/>
    <mergeCell ref="F505:K505"/>
    <mergeCell ref="M485:N485"/>
    <mergeCell ref="M446:N446"/>
    <mergeCell ref="F496:K496"/>
    <mergeCell ref="B530:D530"/>
    <mergeCell ref="M427:N427"/>
    <mergeCell ref="B554:O554"/>
    <mergeCell ref="K548:O553"/>
    <mergeCell ref="G539:H539"/>
    <mergeCell ref="I539:J539"/>
    <mergeCell ref="I537:J537"/>
    <mergeCell ref="E536:F536"/>
    <mergeCell ref="G545:H545"/>
    <mergeCell ref="F499:K499"/>
    <mergeCell ref="M475:N475"/>
    <mergeCell ref="M490:N490"/>
    <mergeCell ref="M481:N481"/>
    <mergeCell ref="F471:K471"/>
    <mergeCell ref="F481:K481"/>
    <mergeCell ref="F486:K486"/>
    <mergeCell ref="F485:K485"/>
    <mergeCell ref="G535:H535"/>
    <mergeCell ref="B534:D534"/>
    <mergeCell ref="M503:N503"/>
    <mergeCell ref="M504:N504"/>
    <mergeCell ref="B513:O513"/>
    <mergeCell ref="E534:F534"/>
    <mergeCell ref="E533:F533"/>
    <mergeCell ref="F518:K518"/>
    <mergeCell ref="F522:K522"/>
    <mergeCell ref="G531:H531"/>
    <mergeCell ref="F460:K460"/>
    <mergeCell ref="M428:N428"/>
    <mergeCell ref="G432:N432"/>
    <mergeCell ref="C445:K445"/>
    <mergeCell ref="F472:K472"/>
    <mergeCell ref="P527:P554"/>
    <mergeCell ref="M464:N464"/>
    <mergeCell ref="AA17:AD19"/>
    <mergeCell ref="B230:O230"/>
    <mergeCell ref="B305:O305"/>
    <mergeCell ref="B380:O380"/>
    <mergeCell ref="B153:O153"/>
    <mergeCell ref="B78:O78"/>
    <mergeCell ref="G369:H369"/>
    <mergeCell ref="I375:J375"/>
    <mergeCell ref="G376:H376"/>
    <mergeCell ref="I376:J376"/>
    <mergeCell ref="C329:D329"/>
    <mergeCell ref="G366:H366"/>
    <mergeCell ref="B302:D302"/>
    <mergeCell ref="E302:F302"/>
    <mergeCell ref="B298:D298"/>
    <mergeCell ref="B297:D297"/>
    <mergeCell ref="B315:O315"/>
    <mergeCell ref="C279:G279"/>
    <mergeCell ref="I302:J302"/>
    <mergeCell ref="G298:H298"/>
    <mergeCell ref="I298:J298"/>
    <mergeCell ref="C193:D193"/>
    <mergeCell ref="I190:J190"/>
    <mergeCell ref="I274:J274"/>
    <mergeCell ref="I319:J319"/>
    <mergeCell ref="K300:O304"/>
    <mergeCell ref="C187:D187"/>
    <mergeCell ref="E187:F187"/>
    <mergeCell ref="I187:J187"/>
    <mergeCell ref="M187:N187"/>
    <mergeCell ref="E327:F327"/>
    <mergeCell ref="K225:O229"/>
    <mergeCell ref="K148:O152"/>
    <mergeCell ref="K73:O77"/>
    <mergeCell ref="E102:I103"/>
    <mergeCell ref="C103:D103"/>
    <mergeCell ref="F498:K498"/>
    <mergeCell ref="F503:K503"/>
    <mergeCell ref="I544:J544"/>
    <mergeCell ref="F500:K500"/>
    <mergeCell ref="M454:N454"/>
    <mergeCell ref="M455:N455"/>
    <mergeCell ref="M460:N460"/>
    <mergeCell ref="B436:O436"/>
    <mergeCell ref="B440:O440"/>
    <mergeCell ref="F455:K455"/>
    <mergeCell ref="F457:K457"/>
    <mergeCell ref="B458:O458"/>
    <mergeCell ref="B430:G430"/>
    <mergeCell ref="M447:N447"/>
    <mergeCell ref="B441:O441"/>
    <mergeCell ref="M484:N484"/>
    <mergeCell ref="B516:O516"/>
    <mergeCell ref="F504:K504"/>
    <mergeCell ref="F487:K487"/>
    <mergeCell ref="M483:N483"/>
    <mergeCell ref="B529:D529"/>
    <mergeCell ref="G528:H528"/>
    <mergeCell ref="I528:J528"/>
    <mergeCell ref="I296:J296"/>
    <mergeCell ref="G297:H297"/>
    <mergeCell ref="B511:O511"/>
    <mergeCell ref="AA89:AD91"/>
    <mergeCell ref="E179:I180"/>
    <mergeCell ref="C180:D180"/>
    <mergeCell ref="AA166:AD168"/>
    <mergeCell ref="E255:I256"/>
    <mergeCell ref="C256:D256"/>
    <mergeCell ref="AA242:AD244"/>
    <mergeCell ref="B594:F594"/>
    <mergeCell ref="G594:J594"/>
    <mergeCell ref="G606:H606"/>
    <mergeCell ref="I606:J606"/>
    <mergeCell ref="G604:H604"/>
    <mergeCell ref="I604:J604"/>
    <mergeCell ref="G605:H605"/>
    <mergeCell ref="I605:J605"/>
    <mergeCell ref="G602:H602"/>
    <mergeCell ref="G597:H597"/>
    <mergeCell ref="I597:J597"/>
    <mergeCell ref="G598:H598"/>
    <mergeCell ref="I545:J545"/>
    <mergeCell ref="P414:P415"/>
    <mergeCell ref="E396:F396"/>
    <mergeCell ref="F490:K490"/>
    <mergeCell ref="F484:K484"/>
    <mergeCell ref="F482:K482"/>
    <mergeCell ref="I540:J540"/>
    <mergeCell ref="B432:F432"/>
    <mergeCell ref="B364:F364"/>
    <mergeCell ref="I318:J318"/>
    <mergeCell ref="C341:D341"/>
    <mergeCell ref="B333:C336"/>
    <mergeCell ref="B308:P308"/>
  </mergeCells>
  <phoneticPr fontId="0" type="noConversion"/>
  <conditionalFormatting sqref="G534:J534">
    <cfRule type="cellIs" dxfId="20" priority="148" stopIfTrue="1" operator="lessThan">
      <formula>$AA$534</formula>
    </cfRule>
  </conditionalFormatting>
  <conditionalFormatting sqref="G535:J535">
    <cfRule type="cellIs" dxfId="19" priority="149" stopIfTrue="1" operator="lessThan">
      <formula>$AA$535</formula>
    </cfRule>
  </conditionalFormatting>
  <conditionalFormatting sqref="G596:J596">
    <cfRule type="cellIs" dxfId="18" priority="47" stopIfTrue="1" operator="lessThan">
      <formula>$AA$597</formula>
    </cfRule>
  </conditionalFormatting>
  <dataValidations xWindow="997" yWindow="499" count="104">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83"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84"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5:N435" xr:uid="{6243AC72-3E0B-416A-9E2D-7AE1EE64AFAE}">
      <formula1>$T$438:$X$438</formula1>
    </dataValidation>
    <dataValidation type="list" allowBlank="1" showInputMessage="1" showErrorMessage="1" promptTitle="Vascular dysfunction" prompt="Affecting wrist/forearm -- select from classes 1-5. See OAR 436-035-0110." sqref="L439:N439" xr:uid="{B18D81EE-3B6D-4C56-BFE4-0875E0556BEA}">
      <formula1>$T$438:$X$438</formula1>
    </dataValidation>
    <dataValidation type="list" allowBlank="1" showInputMessage="1" showErrorMessage="1" promptTitle="Dermatological condition" prompt="Affecting hand -- select from classes 1-5. See OAR 436-035-0110." sqref="L434:N434" xr:uid="{3FBD027D-4FFF-43EE-AAD9-F6B96A5FB648}">
      <formula1>$T$434:$X$434</formula1>
    </dataValidation>
    <dataValidation type="list" allowBlank="1" showInputMessage="1" showErrorMessage="1" promptTitle="Vascular dysfunction" prompt="Affecting hand -- select from classes 1-5. See OAR 436-035-0110." sqref="L438:N438" xr:uid="{3DB1B908-05A5-475A-89EB-7FC94E439080}">
      <formula1>$T$438:$X$438</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3A9780A1-13A8-4445-8294-AA66B516E3ED}">
      <formula1>AK448</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4 A588" xr:uid="{C8E09074-F430-4D1A-9D89-19A407FA548B}">
      <formula1>W514</formula1>
    </dataValidation>
    <dataValidation type="decimal" operator="equal" allowBlank="1" showInputMessage="1" showErrorMessage="1" promptTitle="Amputation" prompt="Show the level of loss or select &quot;NA.&quot;" sqref="A558" xr:uid="{4DD5F108-7960-459C-9D62-D6C3F7090954}">
      <formula1>W558</formula1>
    </dataValidation>
    <dataValidation type="decimal" operator="equal" allowBlank="1" showInputMessage="1" showErrorMessage="1" promptTitle="Arm surgery" prompt="Show the type of surgery performed, if any." sqref="A579" xr:uid="{C4D5E55E-A6C7-405D-BBB2-2DE5CE350319}">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51F1377D-2945-4E52-9B1F-DE2FFD3A1E6F}"/>
    <dataValidation allowBlank="1" showInputMessage="1" showErrorMessage="1" promptTitle="End of worksheet" prompt="Press TAB to return to top of sheet." sqref="P638" xr:uid="{F45E5B9F-1DE6-4AD6-92FB-2BF46824EAF7}"/>
    <dataValidation type="list" allowBlank="1" showInputMessage="1" showErrorMessage="1" promptTitle="Carpometacarpal arthroplasty" prompt="Impairment equals 1/2 the lowest ankylosis value for the carpometacarpal joint of the thumb." sqref="G432:N432" xr:uid="{DE501161-F864-45EB-A558-2697D62DF65A}">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77" xr:uid="{2F7ED3B4-713C-4E73-8905-2948C9BA8937}">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Prosthetic carpal bone" prompt="5% per replacement" sqref="G427" xr:uid="{48AD44CF-A0D8-4ABF-9204-4ABCB99069AB}">
      <formula1>$T$427:$AA$427</formula1>
    </dataValidation>
    <dataValidation type="list" allowBlank="1" showInputMessage="1" showErrorMessage="1" promptTitle="Carpal bone removal" prompt="Removal of any portion of a carpal bone, without replacement, 5% maximum for each carpal bone" sqref="G429" xr:uid="{58B23542-BA1B-478B-9880-27336E03E2F7}">
      <formula1>$T$428:$AA$428</formula1>
    </dataValidation>
    <dataValidation type="list" allowBlank="1" showInputMessage="1" showErrorMessage="1" promptTitle="Distal ulnar" prompt="Resection with prosthetic replacement = 5%; resection without replacement = 10% impairment." sqref="G431:N431" xr:uid="{134F81A6-B904-4C6D-A4C9-A118EFB309E1}">
      <formula1>$S$431:$T$431</formula1>
    </dataValidation>
    <dataValidation type="list" allowBlank="1" showInputMessage="1" showErrorMessage="1" promptTitle="Strength grade" prompt="Record strength using the 0 to 5  grading system as described in OAR 436-035-0011." sqref="M446:N450 M479:N491 M460:N464 M467:N476 M454:N457 M495:N505" xr:uid="{85AA4BCC-C3EF-4CCB-9908-3F01AF7BCE39}">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6B758B45-9AF2-48E6-974E-CD88E986736B}">
      <formula1>$S$443:$AH$443</formula1>
    </dataValidation>
    <dataValidation type="list" allowBlank="1" showInputMessage="1" showErrorMessage="1" promptTitle="Arm length discrepancy" prompt="Discrepancy in inches involving the injured arm and resulting from the injury/surgery" sqref="K573:O573" xr:uid="{8415C18A-03FB-465C-8BE2-0A7C9DF487D8}">
      <formula1>Z573:AE573</formula1>
    </dataValidation>
    <dataValidation type="list" allowBlank="1" showInputMessage="1" showErrorMessage="1" promptTitle="Arm length discrepancy" prompt="Discrepancy in inches involving the injured arm and resulting from the injury/surgery" sqref="E573" xr:uid="{5E1B5E5E-55E1-4D52-B9F7-3A3E0D0DFA3F}">
      <formula1>S573:W573</formula1>
    </dataValidation>
    <dataValidation type="list" allowBlank="1" showInputMessage="1" showErrorMessage="1" promptTitle="Arm length discrepancy" prompt="Discrepancy in inches involving the injured arm and resulting from the injury/surgery" sqref="F573:J573" xr:uid="{C13723E1-D9D0-4819-8632-5D45AE3CD0E5}">
      <formula1>S573:Z573</formula1>
    </dataValidation>
    <dataValidation type="list" allowBlank="1" showInputMessage="1" showErrorMessage="1" promptTitle="Lateral deviation" prompt="At or above elbow, mild, moderate, or severe" sqref="K575:O575" xr:uid="{171BA2D8-680A-41B6-80D2-0754CD3DC427}">
      <formula1>$S$575:$U$575</formula1>
    </dataValidation>
    <dataValidation type="list" allowBlank="1" showInputMessage="1" showErrorMessage="1" promptTitle="Motor loss, arm" prompt="Select the statement that best describes the severity of motor loss." sqref="B592:O592" xr:uid="{3D385D41-2BB8-4C94-BC45-34E3F6240321}">
      <formula1>$R$592:$U$592</formula1>
    </dataValidation>
    <dataValidation type="decimal" allowBlank="1" showInputMessage="1" showErrorMessage="1" promptTitle="Apportionment, if any" prompt="Enter percentage of impairment caused by the injury or illness. See OAR 436-035-0013." sqref="H534:H538 G534:G539 G549:H552 G596:H596 G368:H374 G303:H304 C331 G228:H229 C256 G151:H152 C180 G76:H77 C103 G378:H379 G603:H607 G67:H73 G141:H147 G218:H224 G293:H299 C27:D27" xr:uid="{E543F1B9-DCC5-465B-9789-66EC3A59A03C}">
      <formula1>$B$644</formula1>
      <formula2>$B$645</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$B$654:$B$735</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$B$654:$B$715</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$B$654:$B$670</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$B$654:$B$715</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$B$654:$B$675</formula1>
    </dataValidation>
    <dataValidation type="list" showInputMessage="1" showErrorMessage="1" promptTitle="Elbow" prompt="Enter retained degrees of motion, flexion. If joint was not affected by the injury, select &quot;NA&quot; or leave blank." sqref="C562:D562" xr:uid="{A8B26966-6A14-4B78-BF66-8CAE17FA32DB}">
      <formula1>$B$654:$B$805</formula1>
    </dataValidation>
    <dataValidation type="list" showInputMessage="1" showErrorMessage="1" promptTitle="Arm" prompt="Supination; enter retained degrees of motion. If joint was not affected by the injury, select &quot;NA&quot; or leave blank." sqref="C566:D566" xr:uid="{FC7FB665-4D4E-41EF-A03C-4D02B5CF9FBF}">
      <formula1>$B$654:$B$735</formula1>
    </dataValidation>
    <dataValidation type="list" showInputMessage="1" showErrorMessage="1" promptTitle="Finger" prompt="Enter retained degrees of motion, distal interphalangeal joint, flexion.  If joint was not affected by the injury, select &quot;NA&quot; or leave blank." sqref="C91:D91 C319:D319 C168:D168 C244:D244" xr:uid="{C8CB86A9-4EB2-4818-AAD8-FB0B305A8F96}">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323:D323 C172:D172 C248:D248" xr:uid="{93888465-500C-4237-B524-86C5B9F605A7}">
      <formula1>$B$654:$B$755</formula1>
    </dataValidation>
    <dataValidation type="list" showInputMessage="1" showErrorMessage="1" promptTitle="Finger" prompt="Enter retained degrees of motion, metacarpophalangeal joint, flexion.  If joint was not affected by the injury, select &quot;NA&quot; or leave blank." sqref="C99:D99 C327:D327 C176:D176 C252:D252" xr:uid="{E2DE04BE-13B2-4462-98FA-A7FFE4953AE5}">
      <formula1>$B$654:$B$745</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$B$654:$B$735</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$B$654:$B$735</formula1>
    </dataValidation>
    <dataValidation type="list" showInputMessage="1" showErrorMessage="1" promptTitle="Thumb" prompt="Enter retained degrees of motion or &quot;NA&quot; if contralateral joint has a history of injury or disease." sqref="G19:H20" xr:uid="{194A9B47-2CBC-4F0A-88FA-D63AA6EF7B53}">
      <formula1>$B$654:$B$735</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$B$654:$B$715</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$B$654:$B$715</formula1>
    </dataValidation>
    <dataValidation type="list" showInputMessage="1" showErrorMessage="1" promptTitle="Thumb" prompt="Enter retained degrees of motion or &quot;NA&quot; if contralateral joint has a history of injury or disease." sqref="G23:H24" xr:uid="{14941370-FA87-47A1-8164-2E9199CCEB5E}">
      <formula1>$B$654:$B$715</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$B$654:$B$725</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$B$654:$B$725</formula1>
    </dataValidation>
    <dataValidation type="list" showInputMessage="1" showErrorMessage="1" promptTitle="Finger" prompt="Enter retained degrees of motion or &quot;NA&quot; if contralateral joint has a history of injury or disease." sqref="G91:H92 G168:H169 G244:H245 G319:H320" xr:uid="{FCDA1605-122C-49A0-A231-1D7681416ABF}">
      <formula1>$B$654:$B$725</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$B$654:$B$755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36CC2BD3-30E6-4BB5-914E-2F71D1F1F908}">
      <formula1>$B$654:$B$755</formula1>
    </dataValidation>
    <dataValidation type="list" showInputMessage="1" showErrorMessage="1" promptTitle="Finger" prompt="Enter retained degrees of motion or &quot;NA&quot; if contralateral joint has a history of injury or disease." sqref="G95:H96 G172:H173 G248:H249 G323:H324" xr:uid="{A0B311F1-1293-4652-BAA1-C7D846CD5285}">
      <formula1>$B$654:$B$755</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$B$654:$B$745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9C18C83B-8D08-4A6C-A4E7-E65C0200D925}">
      <formula1>$B$654:$B$745</formula1>
    </dataValidation>
    <dataValidation type="list" showInputMessage="1" showErrorMessage="1" promptTitle="Finger" prompt="Enter retained degrees of motion or &quot;NA&quot; if contralateral joint has a history of injury or disease." sqref="G99:H100 G176:H177 G252:H253 G327:H328" xr:uid="{4F2F7C0B-DA63-4456-9E49-64846847C0FE}">
      <formula1>$B$654:$B$745</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$B$654:$B$725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377EC0A2-24AB-4F4C-A363-742F5785ED53}">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$B$654:$B$755</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$B$654:$B$725</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$B$654:$B$755</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$B$654:$B$745</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$B$654:$B$755</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$B$654:$B$670</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$B$654:$B$685</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$B$654:$B$685</formula1>
    </dataValidation>
    <dataValidation type="list" showInputMessage="1" showErrorMessage="1" promptTitle="Hand" prompt="Enter retained degrees of motion or &quot;NA&quot; if contralateral joint has a history of injury or disease." sqref="G395:H395" xr:uid="{EB1DD80F-7B09-45B5-8431-E8D5FB4F6BB2}">
      <formula1>$B$654:$B$685</formula1>
    </dataValidation>
    <dataValidation type="list" showInputMessage="1" showErrorMessage="1" promptTitle="Hand" prompt="Enter retained degrees of motion or &quot;NA&quot; if contralateral joint has a history of injury or disease." sqref="G394:H394" xr:uid="{BA55BA94-0672-4AFD-9EE8-5DF481994128}">
      <formula1>$B$654:$B$670</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$B$654:$B$685</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$B$654:$B$675</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$B$654:$B$725</formula1>
    </dataValidation>
    <dataValidation type="list" showInputMessage="1" showErrorMessage="1" promptTitle="Wrist" prompt="Enter degrees of extension ankylosis. If joint was not affected by the injury, select &quot;NA&quot; or leave blank." sqref="C401:D401" xr:uid="{793147F4-60B4-457F-A464-E607C76E594D}">
      <formula1>$B$654:$B$715</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$B$654:$B$685</formula1>
    </dataValidation>
    <dataValidation type="list" showInputMessage="1" showErrorMessage="1" promptTitle="Wrist" prompt="Enter degrees of flexion ankylosis.  If joint was not affected by the injury, select &quot;NA&quot; or leave blank." sqref="C403:D403" xr:uid="{73CB26D1-FD45-48EC-B691-A578035445BD}">
      <formula1>$B$654:$B$725</formula1>
    </dataValidation>
    <dataValidation type="list" showInputMessage="1" showErrorMessage="1" promptTitle="Wrist" prompt="Enter retained degrees of motion or &quot;NA&quot; if contralateral joint has a history of injury or disease." sqref="G400:H400 G402:H402 G404:H404 G406:H406" xr:uid="{C2E10498-1D17-43AA-AD07-56B960BA09FF}">
      <formula1>$B$654:$B$715</formula1>
    </dataValidation>
    <dataValidation type="list" showInputMessage="1" showErrorMessage="1" promptTitle="Arm" prompt="Pronation; enter degrees of pronation ankylosis. If joint was not affected by the injury, select &quot;NA&quot; or leave blank." sqref="C569:D569" xr:uid="{F98D9604-14AD-4A30-AC93-4AD14597FCDA}">
      <formula1>$B$654:$B$735</formula1>
    </dataValidation>
    <dataValidation type="list" showInputMessage="1" showErrorMessage="1" promptTitle="Arm" prompt="Pronation; enter retained degrees of motion. If joint was not affected by the injury, select &quot;NA&quot; or leave blank." sqref="C568:D568" xr:uid="{5A9E506D-FBFD-4DA6-8FDE-AFEFCA24B6C3}">
      <formula1>$B$654:$B$735</formula1>
    </dataValidation>
    <dataValidation type="list" showInputMessage="1" showErrorMessage="1" promptTitle="Arm" prompt="Supination; enter degrees of supination ankylosis. If joint was not affected by the injury, select &quot;NA&quot; or leave blank." sqref="C567:D567" xr:uid="{3615A00D-7919-4441-88D2-138EDF5F672C}">
      <formula1>$B$654:$B$735</formula1>
    </dataValidation>
    <dataValidation type="list" showInputMessage="1" showErrorMessage="1" promptTitle="Elbow" prompt="Enter degrees of extension ankylosis. If joint was not affected by the injury, select &quot;NA&quot; or leave blank." sqref="C565:D565" xr:uid="{42D4B59E-54C2-473D-BE5D-E6162CC156F3}">
      <formula1>$B$654:$B$805</formula1>
    </dataValidation>
    <dataValidation type="list" showInputMessage="1" showErrorMessage="1" promptTitle="Elbow" prompt="Enter retained degrees of motion, extension. If joint was not affected by the injury, select &quot;NA&quot; or leave blank." sqref="C564:D564" xr:uid="{96A4F45E-6254-41F4-A094-6E4D64C7E2CB}">
      <formula1>$B$654:$B$805</formula1>
    </dataValidation>
    <dataValidation type="list" showInputMessage="1" showErrorMessage="1" promptTitle="Elbow" prompt="Enter degrees of flexion ankylosis. If joint was not affected by the injury, select &quot;NA&quot; or leave blank." sqref="C563:D563" xr:uid="{2C1968EE-4FB6-4C33-92D8-72D9723C7359}">
      <formula1>$B$654:$B$805</formula1>
    </dataValidation>
    <dataValidation type="list" showInputMessage="1" showErrorMessage="1" promptTitle="Elbow" prompt="Enter retained degrees of motion or &quot;NA&quot; if contralateral joint has a history of injury or disease." sqref="G562:H562 G564:H564 G566:H566 G568:H568" xr:uid="{70D6973B-8D81-4C51-AD14-3E7691394DB8}">
      <formula1>$B$654:$B$805</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38:F439" location="Rules!A80" display="Vascular dysfunction; or neurological dysfunction resulting in cold intolerance:" xr:uid="{00000000-0004-0000-0500-00000A000000}"/>
    <hyperlink ref="B583:N583" location="Rules!A57" display="Dermatological conditions of the thumb, including burns" xr:uid="{00000000-0004-0000-0500-00000B000000}"/>
    <hyperlink ref="B584:N584" location="Rules!A80" display="Vascular dysfunction - thumb; or neurological dysfunction resulting in cold intolerance " xr:uid="{00000000-0004-0000-0500-00000C000000}"/>
    <hyperlink ref="M444:P444"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56" location="'Upper Extremity-Left'!A429" display="Arm" xr:uid="{00000000-0004-0000-0500-000016000000}"/>
    <hyperlink ref="B638" location="'Upper Extremity-Left'!A1" display="Return to top of sheet" xr:uid="{00000000-0004-0000-0500-000017000000}"/>
    <hyperlink ref="J638:N638" location="'PPD DOI on or after 2005'!A1" display="'PPD DOI on or after 2005'!A1" xr:uid="{00000000-0004-0000-0500-000018000000}"/>
    <hyperlink ref="C638:I638" location="'PPD DOI before 2005'!A1" display="'PPD DOI before 2005'!A1" xr:uid="{00000000-0004-0000-0500-000019000000}"/>
    <hyperlink ref="B434"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1" max="16383" man="1"/>
    <brk id="493" max="16383" man="1"/>
    <brk id="525" max="16383" man="1"/>
    <brk id="554" max="16383" man="1"/>
    <brk id="592" max="16383" man="1"/>
    <brk id="610" max="16383" man="1"/>
  </rowBreaks>
  <ignoredErrors>
    <ignoredError sqref="H428:H429 K428:K429 M428:M429 O428:O429 V291 R5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444</xdr:row>
                    <xdr:rowOff>190500</xdr:rowOff>
                  </from>
                  <to>
                    <xdr:col>5</xdr:col>
                    <xdr:colOff>107950</xdr:colOff>
                    <xdr:row>446</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445</xdr:row>
                    <xdr:rowOff>184150</xdr:rowOff>
                  </from>
                  <to>
                    <xdr:col>5</xdr:col>
                    <xdr:colOff>107950</xdr:colOff>
                    <xdr:row>447</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446</xdr:row>
                    <xdr:rowOff>171450</xdr:rowOff>
                  </from>
                  <to>
                    <xdr:col>5</xdr:col>
                    <xdr:colOff>107950</xdr:colOff>
                    <xdr:row>448</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447</xdr:row>
                    <xdr:rowOff>165100</xdr:rowOff>
                  </from>
                  <to>
                    <xdr:col>5</xdr:col>
                    <xdr:colOff>107950</xdr:colOff>
                    <xdr:row>449</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448</xdr:row>
                    <xdr:rowOff>171450</xdr:rowOff>
                  </from>
                  <to>
                    <xdr:col>5</xdr:col>
                    <xdr:colOff>107950</xdr:colOff>
                    <xdr:row>450</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452</xdr:row>
                    <xdr:rowOff>184150</xdr:rowOff>
                  </from>
                  <to>
                    <xdr:col>5</xdr:col>
                    <xdr:colOff>107950</xdr:colOff>
                    <xdr:row>453</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453</xdr:row>
                    <xdr:rowOff>323850</xdr:rowOff>
                  </from>
                  <to>
                    <xdr:col>5</xdr:col>
                    <xdr:colOff>107950</xdr:colOff>
                    <xdr:row>455</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454</xdr:row>
                    <xdr:rowOff>165100</xdr:rowOff>
                  </from>
                  <to>
                    <xdr:col>5</xdr:col>
                    <xdr:colOff>107950</xdr:colOff>
                    <xdr:row>456</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455</xdr:row>
                    <xdr:rowOff>152400</xdr:rowOff>
                  </from>
                  <to>
                    <xdr:col>5</xdr:col>
                    <xdr:colOff>107950</xdr:colOff>
                    <xdr:row>456</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489</xdr:row>
                    <xdr:rowOff>165100</xdr:rowOff>
                  </from>
                  <to>
                    <xdr:col>5</xdr:col>
                    <xdr:colOff>107950</xdr:colOff>
                    <xdr:row>491</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488</xdr:row>
                    <xdr:rowOff>146050</xdr:rowOff>
                  </from>
                  <to>
                    <xdr:col>5</xdr:col>
                    <xdr:colOff>107950</xdr:colOff>
                    <xdr:row>489</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478</xdr:row>
                    <xdr:rowOff>165100</xdr:rowOff>
                  </from>
                  <to>
                    <xdr:col>5</xdr:col>
                    <xdr:colOff>107950</xdr:colOff>
                    <xdr:row>480</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479</xdr:row>
                    <xdr:rowOff>146050</xdr:rowOff>
                  </from>
                  <to>
                    <xdr:col>5</xdr:col>
                    <xdr:colOff>107950</xdr:colOff>
                    <xdr:row>480</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480</xdr:row>
                    <xdr:rowOff>133350</xdr:rowOff>
                  </from>
                  <to>
                    <xdr:col>5</xdr:col>
                    <xdr:colOff>107950</xdr:colOff>
                    <xdr:row>481</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481</xdr:row>
                    <xdr:rowOff>146050</xdr:rowOff>
                  </from>
                  <to>
                    <xdr:col>5</xdr:col>
                    <xdr:colOff>107950</xdr:colOff>
                    <xdr:row>482</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482</xdr:row>
                    <xdr:rowOff>146050</xdr:rowOff>
                  </from>
                  <to>
                    <xdr:col>5</xdr:col>
                    <xdr:colOff>107950</xdr:colOff>
                    <xdr:row>483</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486</xdr:row>
                    <xdr:rowOff>152400</xdr:rowOff>
                  </from>
                  <to>
                    <xdr:col>5</xdr:col>
                    <xdr:colOff>107950</xdr:colOff>
                    <xdr:row>487</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493</xdr:row>
                    <xdr:rowOff>133350</xdr:rowOff>
                  </from>
                  <to>
                    <xdr:col>5</xdr:col>
                    <xdr:colOff>107950</xdr:colOff>
                    <xdr:row>495</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494</xdr:row>
                    <xdr:rowOff>171450</xdr:rowOff>
                  </from>
                  <to>
                    <xdr:col>5</xdr:col>
                    <xdr:colOff>107950</xdr:colOff>
                    <xdr:row>496</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496</xdr:row>
                    <xdr:rowOff>12700</xdr:rowOff>
                  </from>
                  <to>
                    <xdr:col>5</xdr:col>
                    <xdr:colOff>107950</xdr:colOff>
                    <xdr:row>496</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496</xdr:row>
                    <xdr:rowOff>317500</xdr:rowOff>
                  </from>
                  <to>
                    <xdr:col>5</xdr:col>
                    <xdr:colOff>107950</xdr:colOff>
                    <xdr:row>498</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497</xdr:row>
                    <xdr:rowOff>165100</xdr:rowOff>
                  </from>
                  <to>
                    <xdr:col>5</xdr:col>
                    <xdr:colOff>107950</xdr:colOff>
                    <xdr:row>499</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498</xdr:row>
                    <xdr:rowOff>165100</xdr:rowOff>
                  </from>
                  <to>
                    <xdr:col>5</xdr:col>
                    <xdr:colOff>107950</xdr:colOff>
                    <xdr:row>500</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499</xdr:row>
                    <xdr:rowOff>165100</xdr:rowOff>
                  </from>
                  <to>
                    <xdr:col>5</xdr:col>
                    <xdr:colOff>107950</xdr:colOff>
                    <xdr:row>501</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500</xdr:row>
                    <xdr:rowOff>165100</xdr:rowOff>
                  </from>
                  <to>
                    <xdr:col>5</xdr:col>
                    <xdr:colOff>107950</xdr:colOff>
                    <xdr:row>502</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503</xdr:row>
                    <xdr:rowOff>107950</xdr:rowOff>
                  </from>
                  <to>
                    <xdr:col>5</xdr:col>
                    <xdr:colOff>107950</xdr:colOff>
                    <xdr:row>504</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512</xdr:row>
                    <xdr:rowOff>514350</xdr:rowOff>
                  </from>
                  <to>
                    <xdr:col>15</xdr:col>
                    <xdr:colOff>19050</xdr:colOff>
                    <xdr:row>514</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512</xdr:row>
                    <xdr:rowOff>514350</xdr:rowOff>
                  </from>
                  <to>
                    <xdr:col>13</xdr:col>
                    <xdr:colOff>69850</xdr:colOff>
                    <xdr:row>513</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512</xdr:row>
                    <xdr:rowOff>514350</xdr:rowOff>
                  </from>
                  <to>
                    <xdr:col>14</xdr:col>
                    <xdr:colOff>342900</xdr:colOff>
                    <xdr:row>513</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557</xdr:row>
                    <xdr:rowOff>0</xdr:rowOff>
                  </from>
                  <to>
                    <xdr:col>15</xdr:col>
                    <xdr:colOff>19050</xdr:colOff>
                    <xdr:row>558</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557</xdr:row>
                    <xdr:rowOff>0</xdr:rowOff>
                  </from>
                  <to>
                    <xdr:col>1</xdr:col>
                    <xdr:colOff>628650</xdr:colOff>
                    <xdr:row>557</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557</xdr:row>
                    <xdr:rowOff>0</xdr:rowOff>
                  </from>
                  <to>
                    <xdr:col>15</xdr:col>
                    <xdr:colOff>0</xdr:colOff>
                    <xdr:row>557</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576</xdr:row>
                    <xdr:rowOff>31750</xdr:rowOff>
                  </from>
                  <to>
                    <xdr:col>8</xdr:col>
                    <xdr:colOff>69850</xdr:colOff>
                    <xdr:row>577</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458</xdr:row>
                    <xdr:rowOff>127000</xdr:rowOff>
                  </from>
                  <to>
                    <xdr:col>5</xdr:col>
                    <xdr:colOff>107950</xdr:colOff>
                    <xdr:row>459</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459</xdr:row>
                    <xdr:rowOff>203200</xdr:rowOff>
                  </from>
                  <to>
                    <xdr:col>5</xdr:col>
                    <xdr:colOff>107950</xdr:colOff>
                    <xdr:row>460</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460</xdr:row>
                    <xdr:rowOff>203200</xdr:rowOff>
                  </from>
                  <to>
                    <xdr:col>5</xdr:col>
                    <xdr:colOff>107950</xdr:colOff>
                    <xdr:row>461</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461</xdr:row>
                    <xdr:rowOff>209550</xdr:rowOff>
                  </from>
                  <to>
                    <xdr:col>5</xdr:col>
                    <xdr:colOff>107950</xdr:colOff>
                    <xdr:row>462</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462</xdr:row>
                    <xdr:rowOff>209550</xdr:rowOff>
                  </from>
                  <to>
                    <xdr:col>5</xdr:col>
                    <xdr:colOff>107950</xdr:colOff>
                    <xdr:row>463</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473</xdr:row>
                    <xdr:rowOff>165100</xdr:rowOff>
                  </from>
                  <to>
                    <xdr:col>5</xdr:col>
                    <xdr:colOff>107950</xdr:colOff>
                    <xdr:row>475</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474</xdr:row>
                    <xdr:rowOff>152400</xdr:rowOff>
                  </from>
                  <to>
                    <xdr:col>5</xdr:col>
                    <xdr:colOff>107950</xdr:colOff>
                    <xdr:row>475</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465</xdr:row>
                    <xdr:rowOff>127000</xdr:rowOff>
                  </from>
                  <to>
                    <xdr:col>5</xdr:col>
                    <xdr:colOff>107950</xdr:colOff>
                    <xdr:row>467</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472</xdr:row>
                    <xdr:rowOff>114300</xdr:rowOff>
                  </from>
                  <to>
                    <xdr:col>5</xdr:col>
                    <xdr:colOff>107950</xdr:colOff>
                    <xdr:row>473</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458</xdr:row>
                    <xdr:rowOff>76200</xdr:rowOff>
                  </from>
                  <to>
                    <xdr:col>3</xdr:col>
                    <xdr:colOff>260350</xdr:colOff>
                    <xdr:row>463</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460</xdr:row>
                    <xdr:rowOff>50800</xdr:rowOff>
                  </from>
                  <to>
                    <xdr:col>3</xdr:col>
                    <xdr:colOff>241300</xdr:colOff>
                    <xdr:row>461</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461</xdr:row>
                    <xdr:rowOff>50800</xdr:rowOff>
                  </from>
                  <to>
                    <xdr:col>3</xdr:col>
                    <xdr:colOff>241300</xdr:colOff>
                    <xdr:row>462</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462</xdr:row>
                    <xdr:rowOff>171450</xdr:rowOff>
                  </from>
                  <to>
                    <xdr:col>3</xdr:col>
                    <xdr:colOff>241300</xdr:colOff>
                    <xdr:row>463</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467</xdr:row>
                    <xdr:rowOff>146050</xdr:rowOff>
                  </from>
                  <to>
                    <xdr:col>5</xdr:col>
                    <xdr:colOff>107950</xdr:colOff>
                    <xdr:row>468</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468</xdr:row>
                    <xdr:rowOff>146050</xdr:rowOff>
                  </from>
                  <to>
                    <xdr:col>5</xdr:col>
                    <xdr:colOff>107950</xdr:colOff>
                    <xdr:row>469</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469</xdr:row>
                    <xdr:rowOff>146050</xdr:rowOff>
                  </from>
                  <to>
                    <xdr:col>5</xdr:col>
                    <xdr:colOff>107950</xdr:colOff>
                    <xdr:row>470</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470</xdr:row>
                    <xdr:rowOff>133350</xdr:rowOff>
                  </from>
                  <to>
                    <xdr:col>5</xdr:col>
                    <xdr:colOff>107950</xdr:colOff>
                    <xdr:row>471</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462</xdr:row>
                    <xdr:rowOff>19050</xdr:rowOff>
                  </from>
                  <to>
                    <xdr:col>1</xdr:col>
                    <xdr:colOff>819150</xdr:colOff>
                    <xdr:row>462</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466</xdr:row>
                    <xdr:rowOff>152400</xdr:rowOff>
                  </from>
                  <to>
                    <xdr:col>5</xdr:col>
                    <xdr:colOff>107950</xdr:colOff>
                    <xdr:row>467</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19050</xdr:colOff>
                    <xdr:row>411</xdr:row>
                    <xdr:rowOff>241300</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69850</xdr:colOff>
                    <xdr:row>411</xdr:row>
                    <xdr:rowOff>241300</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114300</xdr:colOff>
                    <xdr:row>411</xdr:row>
                    <xdr:rowOff>19050</xdr:rowOff>
                  </from>
                  <to>
                    <xdr:col>14</xdr:col>
                    <xdr:colOff>514350</xdr:colOff>
                    <xdr:row>411</xdr:row>
                    <xdr:rowOff>241300</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19050</xdr:colOff>
                    <xdr:row>412</xdr:row>
                    <xdr:rowOff>241300</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241300</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114300</xdr:colOff>
                    <xdr:row>412</xdr:row>
                    <xdr:rowOff>19050</xdr:rowOff>
                  </from>
                  <to>
                    <xdr:col>14</xdr:col>
                    <xdr:colOff>514350</xdr:colOff>
                    <xdr:row>412</xdr:row>
                    <xdr:rowOff>241300</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196850</xdr:colOff>
                    <xdr:row>414</xdr:row>
                    <xdr:rowOff>241300</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209550</xdr:colOff>
                    <xdr:row>414</xdr:row>
                    <xdr:rowOff>241300</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101600</xdr:colOff>
                    <xdr:row>414</xdr:row>
                    <xdr:rowOff>19050</xdr:rowOff>
                  </from>
                  <to>
                    <xdr:col>14</xdr:col>
                    <xdr:colOff>596900</xdr:colOff>
                    <xdr:row>414</xdr:row>
                    <xdr:rowOff>241300</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196850</xdr:colOff>
                    <xdr:row>415</xdr:row>
                    <xdr:rowOff>241300</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234950</xdr:colOff>
                    <xdr:row>415</xdr:row>
                    <xdr:rowOff>241300</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101600</xdr:colOff>
                    <xdr:row>415</xdr:row>
                    <xdr:rowOff>19050</xdr:rowOff>
                  </from>
                  <to>
                    <xdr:col>14</xdr:col>
                    <xdr:colOff>596900</xdr:colOff>
                    <xdr:row>415</xdr:row>
                    <xdr:rowOff>241300</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31750</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31750</xdr:colOff>
                    <xdr:row>480</xdr:row>
                    <xdr:rowOff>133350</xdr:rowOff>
                  </from>
                  <to>
                    <xdr:col>3</xdr:col>
                    <xdr:colOff>177800</xdr:colOff>
                    <xdr:row>482</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31750</xdr:colOff>
                    <xdr:row>482</xdr:row>
                    <xdr:rowOff>38100</xdr:rowOff>
                  </from>
                  <to>
                    <xdr:col>3</xdr:col>
                    <xdr:colOff>139700</xdr:colOff>
                    <xdr:row>483</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495</xdr:row>
                    <xdr:rowOff>12700</xdr:rowOff>
                  </from>
                  <to>
                    <xdr:col>3</xdr:col>
                    <xdr:colOff>222250</xdr:colOff>
                    <xdr:row>496</xdr:row>
                    <xdr:rowOff>69850</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496</xdr:row>
                    <xdr:rowOff>107950</xdr:rowOff>
                  </from>
                  <to>
                    <xdr:col>3</xdr:col>
                    <xdr:colOff>222250</xdr:colOff>
                    <xdr:row>497</xdr:row>
                    <xdr:rowOff>6350</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31750</xdr:colOff>
                    <xdr:row>497</xdr:row>
                    <xdr:rowOff>63500</xdr:rowOff>
                  </from>
                  <to>
                    <xdr:col>3</xdr:col>
                    <xdr:colOff>228600</xdr:colOff>
                    <xdr:row>498</xdr:row>
                    <xdr:rowOff>120650</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578</xdr:row>
                    <xdr:rowOff>127000</xdr:rowOff>
                  </from>
                  <to>
                    <xdr:col>3</xdr:col>
                    <xdr:colOff>196850</xdr:colOff>
                    <xdr:row>578</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184150</xdr:colOff>
                    <xdr:row>578</xdr:row>
                    <xdr:rowOff>0</xdr:rowOff>
                  </from>
                  <to>
                    <xdr:col>14</xdr:col>
                    <xdr:colOff>50800</xdr:colOff>
                    <xdr:row>578</xdr:row>
                    <xdr:rowOff>222250</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184150</xdr:colOff>
                    <xdr:row>578</xdr:row>
                    <xdr:rowOff>228600</xdr:rowOff>
                  </from>
                  <to>
                    <xdr:col>14</xdr:col>
                    <xdr:colOff>425450</xdr:colOff>
                    <xdr:row>578</xdr:row>
                    <xdr:rowOff>450850</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579</xdr:row>
                    <xdr:rowOff>12700</xdr:rowOff>
                  </from>
                  <to>
                    <xdr:col>3</xdr:col>
                    <xdr:colOff>247650</xdr:colOff>
                    <xdr:row>579</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184150</xdr:colOff>
                    <xdr:row>579</xdr:row>
                    <xdr:rowOff>19050</xdr:rowOff>
                  </from>
                  <to>
                    <xdr:col>14</xdr:col>
                    <xdr:colOff>279400</xdr:colOff>
                    <xdr:row>579</xdr:row>
                    <xdr:rowOff>241300</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580</xdr:row>
                    <xdr:rowOff>12700</xdr:rowOff>
                  </from>
                  <to>
                    <xdr:col>4</xdr:col>
                    <xdr:colOff>95250</xdr:colOff>
                    <xdr:row>580</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184150</xdr:colOff>
                    <xdr:row>580</xdr:row>
                    <xdr:rowOff>19050</xdr:rowOff>
                  </from>
                  <to>
                    <xdr:col>13</xdr:col>
                    <xdr:colOff>234950</xdr:colOff>
                    <xdr:row>580</xdr:row>
                    <xdr:rowOff>241300</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241300</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88900</xdr:colOff>
                    <xdr:row>587</xdr:row>
                    <xdr:rowOff>19050</xdr:rowOff>
                  </from>
                  <to>
                    <xdr:col>14</xdr:col>
                    <xdr:colOff>336550</xdr:colOff>
                    <xdr:row>587</xdr:row>
                    <xdr:rowOff>241300</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12700</xdr:colOff>
                    <xdr:row>384</xdr:row>
                    <xdr:rowOff>12700</xdr:rowOff>
                  </from>
                  <to>
                    <xdr:col>1</xdr:col>
                    <xdr:colOff>406400</xdr:colOff>
                    <xdr:row>384</xdr:row>
                    <xdr:rowOff>241300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12700</xdr:rowOff>
                  </from>
                  <to>
                    <xdr:col>5</xdr:col>
                    <xdr:colOff>285750</xdr:colOff>
                    <xdr:row>384</xdr:row>
                    <xdr:rowOff>241300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76200</xdr:colOff>
                    <xdr:row>384</xdr:row>
                    <xdr:rowOff>0</xdr:rowOff>
                  </from>
                  <to>
                    <xdr:col>14</xdr:col>
                    <xdr:colOff>584200</xdr:colOff>
                    <xdr:row>384</xdr:row>
                    <xdr:rowOff>234950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6"/>
  <sheetViews>
    <sheetView showGridLines="0" zoomScale="120" workbookViewId="0"/>
  </sheetViews>
  <sheetFormatPr defaultColWidth="3" defaultRowHeight="13" x14ac:dyDescent="0.3"/>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1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3">
      <c r="B1" s="739" t="s">
        <v>1732</v>
      </c>
      <c r="C1" s="786"/>
      <c r="D1" s="747" t="str">
        <f>IF('Start here'!A6="","",'Start here'!A6)</f>
        <v/>
      </c>
      <c r="E1" s="751"/>
      <c r="F1" s="751"/>
      <c r="G1" s="751"/>
      <c r="H1" s="751"/>
      <c r="I1" s="751"/>
      <c r="J1" s="751"/>
      <c r="K1" s="752"/>
      <c r="M1" s="747" t="str">
        <f>IF('Start here'!A7="","",'Start here'!A7)</f>
        <v/>
      </c>
      <c r="N1" s="751"/>
      <c r="O1" s="751"/>
      <c r="P1" s="752"/>
      <c r="R1" s="245">
        <v>38353</v>
      </c>
      <c r="S1" s="925" t="str">
        <f>IF(R2&lt;R1,"Go to PPD Worksheet","")</f>
        <v>Go to PPD Worksheet</v>
      </c>
      <c r="T1" s="925"/>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3">
      <c r="B2" s="792"/>
      <c r="C2" s="792"/>
      <c r="D2" s="792"/>
      <c r="E2" s="792"/>
      <c r="F2" s="792"/>
      <c r="G2" s="792"/>
      <c r="H2" s="792"/>
      <c r="I2" s="792"/>
      <c r="J2" s="792"/>
      <c r="K2" s="792"/>
      <c r="L2" s="792"/>
      <c r="M2" s="792"/>
      <c r="N2" s="792"/>
      <c r="O2" s="792"/>
      <c r="P2" s="792"/>
      <c r="R2" s="245">
        <f>'Start here'!A8</f>
        <v>0</v>
      </c>
      <c r="S2" s="925" t="str">
        <f>IF(R2&gt;=R1,"Go to PPD Worksheet","")</f>
        <v/>
      </c>
      <c r="T2" s="925"/>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4">
      <c r="A3" s="2"/>
      <c r="B3" s="793" t="s">
        <v>1431</v>
      </c>
      <c r="C3" s="794"/>
      <c r="D3" s="794"/>
      <c r="E3" s="794"/>
      <c r="F3" s="794"/>
      <c r="G3" s="794"/>
      <c r="H3" s="794"/>
      <c r="I3" s="794"/>
      <c r="J3" s="794"/>
      <c r="K3" s="794"/>
      <c r="L3" s="794"/>
      <c r="M3" s="794"/>
      <c r="N3" s="794"/>
      <c r="O3" s="794"/>
      <c r="P3" s="1117"/>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4">
      <c r="A4" s="2"/>
      <c r="B4" s="180" t="s">
        <v>406</v>
      </c>
      <c r="C4" s="1076" t="s">
        <v>345</v>
      </c>
      <c r="D4" s="1076"/>
      <c r="E4" s="1076" t="s">
        <v>346</v>
      </c>
      <c r="F4" s="1076"/>
      <c r="G4" s="1076" t="s">
        <v>347</v>
      </c>
      <c r="H4" s="1076"/>
      <c r="I4" s="1076"/>
      <c r="J4" s="1076" t="s">
        <v>348</v>
      </c>
      <c r="K4" s="1076"/>
      <c r="L4" s="1076" t="s">
        <v>349</v>
      </c>
      <c r="M4" s="1076"/>
      <c r="N4" s="369" t="s">
        <v>714</v>
      </c>
      <c r="O4" s="369" t="s">
        <v>672</v>
      </c>
      <c r="P4" s="369" t="s">
        <v>1898</v>
      </c>
      <c r="Q4" s="381"/>
      <c r="R4" s="382"/>
      <c r="S4" s="203"/>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3">
      <c r="A5" s="2"/>
      <c r="B5" s="792"/>
      <c r="C5" s="792"/>
      <c r="D5" s="792"/>
      <c r="E5" s="792"/>
      <c r="F5" s="792"/>
      <c r="G5" s="792"/>
      <c r="H5" s="792"/>
      <c r="I5" s="792"/>
      <c r="J5" s="792"/>
      <c r="K5" s="792"/>
      <c r="L5" s="792"/>
      <c r="M5" s="792"/>
      <c r="N5" s="792"/>
      <c r="O5" s="792"/>
      <c r="P5" s="792"/>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3">
      <c r="A6" s="2"/>
      <c r="B6" s="947" t="s">
        <v>1432</v>
      </c>
      <c r="C6" s="878"/>
      <c r="D6" s="878"/>
      <c r="E6" s="878"/>
      <c r="F6" s="878"/>
      <c r="G6" s="878"/>
      <c r="H6" s="878"/>
      <c r="I6" s="878"/>
      <c r="J6" s="878"/>
      <c r="K6" s="878"/>
      <c r="L6" s="878"/>
      <c r="M6" s="878"/>
      <c r="N6" s="878"/>
      <c r="O6" s="878"/>
      <c r="P6" s="878"/>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3">
      <c r="A7" s="2"/>
      <c r="B7" s="925" t="s">
        <v>1271</v>
      </c>
      <c r="C7" s="925"/>
      <c r="D7" s="925"/>
      <c r="E7" s="925"/>
      <c r="F7" s="925"/>
      <c r="G7" s="925"/>
      <c r="H7" s="925"/>
      <c r="I7" s="925"/>
      <c r="J7" s="925"/>
      <c r="K7" s="925"/>
      <c r="L7" s="925"/>
      <c r="M7" s="925"/>
      <c r="N7" s="925"/>
      <c r="O7" s="925"/>
      <c r="P7" s="925"/>
      <c r="Q7" s="2"/>
      <c r="R7" s="10"/>
      <c r="S7" s="10"/>
      <c r="T7" s="77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3">
      <c r="A8" s="2"/>
      <c r="B8" s="1014"/>
      <c r="C8" s="1014"/>
      <c r="D8" s="1014"/>
      <c r="E8" s="1014"/>
      <c r="F8" s="1014"/>
      <c r="G8" s="1014"/>
      <c r="H8" s="1014"/>
      <c r="I8" s="1014"/>
      <c r="J8" s="1014"/>
      <c r="K8" s="1014"/>
      <c r="L8" s="1014"/>
      <c r="M8" s="1014"/>
      <c r="N8" s="1014"/>
      <c r="O8" s="1014"/>
      <c r="P8" s="21">
        <f>SUMIF(U7:AO7,B8,U8:AO8)</f>
        <v>0</v>
      </c>
      <c r="Q8" s="2"/>
      <c r="R8" s="10"/>
      <c r="S8" s="10"/>
      <c r="T8" s="77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35">
      <c r="A9" s="2"/>
      <c r="B9" s="1244"/>
      <c r="C9" s="1244"/>
      <c r="D9" s="1244"/>
      <c r="E9" s="1244"/>
      <c r="F9" s="1244"/>
      <c r="G9" s="1244"/>
      <c r="H9" s="1244"/>
      <c r="I9" s="1244"/>
      <c r="J9" s="1244"/>
      <c r="K9" s="1244"/>
      <c r="L9" s="1244"/>
      <c r="M9" s="1244"/>
      <c r="N9" s="1244"/>
      <c r="O9" s="1244"/>
      <c r="P9" s="1244"/>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3">
      <c r="A10" s="2"/>
      <c r="B10" s="940" t="s">
        <v>1192</v>
      </c>
      <c r="C10" s="941"/>
      <c r="D10" s="941"/>
      <c r="E10" s="941"/>
      <c r="F10" s="941"/>
      <c r="G10" s="941"/>
      <c r="H10" s="941"/>
      <c r="I10" s="941"/>
      <c r="J10" s="941"/>
      <c r="K10" s="941"/>
      <c r="L10" s="941"/>
      <c r="M10" s="941"/>
      <c r="N10" s="941"/>
      <c r="O10" s="941"/>
      <c r="P10" s="845"/>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35">
      <c r="A11" s="2"/>
      <c r="B11" s="383"/>
      <c r="C11" s="847" t="s">
        <v>1595</v>
      </c>
      <c r="D11" s="847"/>
      <c r="E11" s="847"/>
      <c r="F11" s="847"/>
      <c r="G11" s="1137" t="s">
        <v>1081</v>
      </c>
      <c r="H11" s="1137"/>
      <c r="I11" s="1137"/>
      <c r="J11" s="1137"/>
      <c r="K11" s="1137"/>
      <c r="L11" s="1207"/>
      <c r="M11" s="1207"/>
      <c r="N11" s="1207"/>
      <c r="O11" s="1207"/>
      <c r="P11" s="846"/>
      <c r="Q11" s="2"/>
      <c r="R11" s="10"/>
      <c r="S11" s="2"/>
      <c r="T11" s="927" t="s">
        <v>1257</v>
      </c>
      <c r="U11" s="927"/>
      <c r="V11" s="10"/>
      <c r="W11" s="10"/>
      <c r="X11" s="10"/>
      <c r="Y11" s="984" t="s">
        <v>2259</v>
      </c>
      <c r="Z11" s="985"/>
      <c r="AA11" s="985"/>
      <c r="AB11" s="986"/>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3">
      <c r="A12" s="2"/>
      <c r="B12" s="296" t="s">
        <v>1082</v>
      </c>
      <c r="C12" s="925" t="s">
        <v>365</v>
      </c>
      <c r="D12" s="925"/>
      <c r="E12" s="925" t="s">
        <v>1795</v>
      </c>
      <c r="F12" s="925"/>
      <c r="G12" s="925" t="s">
        <v>365</v>
      </c>
      <c r="H12" s="925"/>
      <c r="I12" s="925"/>
      <c r="J12" s="925" t="s">
        <v>1795</v>
      </c>
      <c r="K12" s="925"/>
      <c r="L12" s="1265"/>
      <c r="M12" s="1266"/>
      <c r="N12" s="1266"/>
      <c r="O12" s="1267"/>
      <c r="P12" s="846"/>
      <c r="Q12" s="2"/>
      <c r="R12" s="10"/>
      <c r="S12" s="128" t="s">
        <v>1572</v>
      </c>
      <c r="T12" s="503" t="s">
        <v>1595</v>
      </c>
      <c r="U12" s="259" t="s">
        <v>1596</v>
      </c>
      <c r="V12" s="925" t="s">
        <v>1083</v>
      </c>
      <c r="W12" s="925"/>
      <c r="X12" s="2"/>
      <c r="Y12" s="194">
        <f>IF(E14&gt;0,O15,IF(AND(E14=0,W20&gt;0,O15&gt;0,C21&gt;0),C21*O15,O15))</f>
        <v>0</v>
      </c>
      <c r="Z12" s="194">
        <f>IF(W20&gt;0,O20,IF(AND(W20=0,E14&gt;0,O20&gt;0,C21&gt;0),C21*O20,O20))</f>
        <v>0</v>
      </c>
      <c r="AA12" s="194">
        <f>IF(AND(E14=0,W20=0,C21&gt;0),C21*AB19,AB19)</f>
        <v>0</v>
      </c>
      <c r="AB12" s="18">
        <f>IF(AND(E14&gt;0,W20&gt;0),1,IF(AND(E14&gt;0,O20=0),1,IF(AND(W20&gt;0,O15=0),1,0)))</f>
        <v>0</v>
      </c>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3">
      <c r="A13" s="2"/>
      <c r="B13" s="296" t="s">
        <v>1255</v>
      </c>
      <c r="C13" s="1260"/>
      <c r="D13" s="1261"/>
      <c r="E13" s="1202">
        <f>LETable!AJ3</f>
        <v>0</v>
      </c>
      <c r="F13" s="1202"/>
      <c r="G13" s="745"/>
      <c r="H13" s="892"/>
      <c r="I13" s="892"/>
      <c r="J13" s="1263">
        <f>IF(C13="",0,IF(OR(C13&lt;=0,G13&lt;=0),E13,IF(G13&lt;C13,0,LETable!AO3)))</f>
        <v>0</v>
      </c>
      <c r="K13" s="1264"/>
      <c r="L13" s="1209" t="str">
        <f>IF(OR(C13="NA",G13="NA"),"",IF(AND(C13&lt;&gt;"",G13=""),"Enter contralateral or NA.",IF(AND(C13="",G13&lt;&gt;""),"Need data","")))</f>
        <v/>
      </c>
      <c r="M13" s="1210"/>
      <c r="N13" s="1210"/>
      <c r="O13" s="1210"/>
      <c r="P13" s="846"/>
      <c r="Q13" s="2"/>
      <c r="R13" s="132"/>
      <c r="S13" s="50">
        <v>30</v>
      </c>
      <c r="T13" s="531"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3">
      <c r="A14" s="2"/>
      <c r="B14" s="296" t="s">
        <v>1839</v>
      </c>
      <c r="C14" s="1260"/>
      <c r="D14" s="1261"/>
      <c r="E14" s="1309">
        <f>IF(AND(C14&lt;&gt;"",C14&lt;&gt;"NA",C13&lt;&gt;"NA",C13&lt;&gt;""),"ERROR",LETable!AJ4)</f>
        <v>0</v>
      </c>
      <c r="F14" s="1310"/>
      <c r="G14" s="1073" t="str">
        <f>IF(E14="ERROR","Error: Cannot rate ROM and ankylosis.","")</f>
        <v/>
      </c>
      <c r="H14" s="1208"/>
      <c r="I14" s="1208"/>
      <c r="J14" s="1208"/>
      <c r="K14" s="1208"/>
      <c r="L14" s="1208"/>
      <c r="M14" s="1208"/>
      <c r="N14" s="1208"/>
      <c r="O14" s="1208"/>
      <c r="P14" s="846"/>
      <c r="Q14" s="2"/>
      <c r="S14" s="50">
        <v>30</v>
      </c>
      <c r="T14" s="531" t="str">
        <f>IF(OR(C14="",C14="NA"),"",IF(C14&gt;S14,S14,IF(C14&lt;0,0,C14)))</f>
        <v/>
      </c>
      <c r="U14" s="10"/>
      <c r="V14" s="61"/>
      <c r="W14" s="131"/>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3">
      <c r="A15" s="2"/>
      <c r="B15" s="296" t="s">
        <v>1840</v>
      </c>
      <c r="C15" s="1304"/>
      <c r="D15" s="1305"/>
      <c r="E15" s="1305"/>
      <c r="F15" s="1305"/>
      <c r="G15" s="1305"/>
      <c r="H15" s="1305"/>
      <c r="I15" s="1305"/>
      <c r="J15" s="1305"/>
      <c r="K15" s="1306"/>
      <c r="L15" s="1099" t="s">
        <v>1841</v>
      </c>
      <c r="M15" s="1100"/>
      <c r="N15" s="1101"/>
      <c r="O15" s="59">
        <f>IF(E14="ERROR","ERROR",IF(R15&gt;1,1,R15))</f>
        <v>0</v>
      </c>
      <c r="P15" s="846"/>
      <c r="Q15" s="2"/>
      <c r="R15" s="194">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3">
      <c r="A16" s="2"/>
      <c r="B16" s="297" t="s">
        <v>1334</v>
      </c>
      <c r="C16" s="1018"/>
      <c r="D16" s="1018"/>
      <c r="E16" s="1202">
        <f>LETable!AJ6</f>
        <v>0</v>
      </c>
      <c r="F16" s="1202"/>
      <c r="G16" s="745"/>
      <c r="H16" s="892"/>
      <c r="I16" s="892"/>
      <c r="J16" s="1263">
        <f>IF(C16="",0,IF(OR(C16&lt;=0,G16&lt;=0),E16,IF(G16&lt;C16,0,LETable!AO6)))</f>
        <v>0</v>
      </c>
      <c r="K16" s="1264"/>
      <c r="L16" s="1254" t="str">
        <f>IF(OR(C16="NA",G16="NA"),"",IF(AND(C16&lt;&gt;"",G16=""),"Enter contralateral or NA.",IF(AND(C16="",G16&lt;&gt;""),"Need data","")))</f>
        <v/>
      </c>
      <c r="M16" s="1255"/>
      <c r="N16" s="1255"/>
      <c r="O16" s="1255"/>
      <c r="P16" s="846"/>
      <c r="Q16" s="2"/>
      <c r="S16" s="50">
        <v>50</v>
      </c>
      <c r="T16" s="531" t="str">
        <f>IF(OR(C16="",C16="NA"),"",IF(C16&gt;S16,S16,IF(C16&lt;0,0,C16)))</f>
        <v/>
      </c>
      <c r="U16" s="50" t="str">
        <f>IF(OR(G16="",G16="NA"),"",IF(G16&gt;S16,S16,IF(G16&lt;0,0,G16)))</f>
        <v/>
      </c>
      <c r="V16" s="562" t="str">
        <f>IF(W16="","",ROUND(W16,0))</f>
        <v/>
      </c>
      <c r="W16" s="563"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3">
      <c r="A17" s="2"/>
      <c r="B17" s="297" t="s">
        <v>1335</v>
      </c>
      <c r="C17" s="1268"/>
      <c r="D17" s="1268"/>
      <c r="E17" s="1202">
        <f>IF(AND(C17&lt;&gt;"",C17&lt;&gt;"NA",C16&lt;&gt;"NA",C16&lt;&gt;""),"ERROR",IF(AND(C17&lt;&gt;"",C17&lt;&gt;"NA",C18&lt;&gt;"",C18&lt;&gt;"NA"),"ERROR",LETable!AJ7))</f>
        <v>0</v>
      </c>
      <c r="F17" s="1202"/>
      <c r="G17" s="1302" t="str">
        <f>IF(E17="ERROR","Error: Cannot rate ROM and ankylosis.","")</f>
        <v/>
      </c>
      <c r="H17" s="1303"/>
      <c r="I17" s="1303"/>
      <c r="J17" s="1303"/>
      <c r="K17" s="1303"/>
      <c r="L17" s="1303"/>
      <c r="M17" s="1303"/>
      <c r="N17" s="1303"/>
      <c r="O17" s="1303"/>
      <c r="P17" s="846"/>
      <c r="Q17" s="2"/>
      <c r="R17" s="10"/>
      <c r="S17" s="50">
        <v>50</v>
      </c>
      <c r="T17" s="531"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3">
      <c r="A18" s="2"/>
      <c r="B18" s="128" t="s">
        <v>1255</v>
      </c>
      <c r="C18" s="1268"/>
      <c r="D18" s="1268"/>
      <c r="E18" s="1202">
        <f>LETable!AJ8</f>
        <v>0</v>
      </c>
      <c r="F18" s="1202"/>
      <c r="G18" s="745"/>
      <c r="H18" s="892"/>
      <c r="I18" s="892"/>
      <c r="J18" s="1263">
        <f>IF(C18="",0,IF(OR(C18&lt;=0,G18&lt;=0),E18,IF(G18&lt;C18,0,LETable!AO8)))</f>
        <v>0</v>
      </c>
      <c r="K18" s="1264"/>
      <c r="L18" s="1209" t="str">
        <f>IF(OR(C18="NA",G18="NA"),"",IF(AND(C18&lt;&gt;"",G18=""),"Enter contralateral or NA.",IF(AND(C18="",G18&lt;&gt;""),"Need data","")))</f>
        <v/>
      </c>
      <c r="M18" s="1210"/>
      <c r="N18" s="1210"/>
      <c r="O18" s="1210"/>
      <c r="P18" s="846"/>
      <c r="Q18" s="2"/>
      <c r="R18" s="10"/>
      <c r="S18" s="50">
        <v>30</v>
      </c>
      <c r="T18" s="531"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3">
      <c r="A19" s="2"/>
      <c r="B19" s="296" t="s">
        <v>1839</v>
      </c>
      <c r="C19" s="1260"/>
      <c r="D19" s="1261"/>
      <c r="E19" s="1202">
        <f>IF(AND(C19&lt;&gt;"",C19&lt;&gt;"NA",C18&lt;&gt;"NA",C18&lt;&gt;""),"ERROR",IF(AND(C19&lt;&gt;"",C19&lt;&gt;"NA",C16&lt;&gt;"",C16&lt;&gt;"NA"),"ERROR",LETable!AJ9))</f>
        <v>0</v>
      </c>
      <c r="F19" s="1202"/>
      <c r="G19" s="1203" t="str">
        <f>IF(E19="ERROR","Error: Cannot rate ROM and ankylosis.",IF(AND(C17&lt;&gt;"",C17&lt;&gt;"NA",C19&lt;&gt;"",C19&lt;&gt;"NA"),"Multiple ankylosis values; use higher value only.",""))</f>
        <v/>
      </c>
      <c r="H19" s="1204"/>
      <c r="I19" s="1204"/>
      <c r="J19" s="1204"/>
      <c r="K19" s="1204"/>
      <c r="L19" s="1204"/>
      <c r="M19" s="1204"/>
      <c r="N19" s="1204"/>
      <c r="O19" s="1205"/>
      <c r="P19" s="846"/>
      <c r="Q19" s="2"/>
      <c r="R19" s="10"/>
      <c r="S19" s="50">
        <v>30</v>
      </c>
      <c r="T19" s="531"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3">
      <c r="A20" s="2"/>
      <c r="B20" s="636"/>
      <c r="C20" s="637"/>
      <c r="D20" s="637"/>
      <c r="E20" s="998" t="str">
        <f>IF(AND(OR(E14&gt;0,W20&gt;0),C21&gt;0),"Note: Ankylosis impairment is not apportioned.","")</f>
        <v/>
      </c>
      <c r="F20" s="999"/>
      <c r="G20" s="999"/>
      <c r="H20" s="999"/>
      <c r="I20" s="999"/>
      <c r="J20" s="1000"/>
      <c r="K20" s="1099" t="s">
        <v>1841</v>
      </c>
      <c r="L20" s="1100"/>
      <c r="M20" s="1100"/>
      <c r="N20" s="1101"/>
      <c r="O20" s="59">
        <f>IF(OR(E17="ERROR",E19="ERROR"),"ERROR",IF(R20&gt;1,1,R20))</f>
        <v>0</v>
      </c>
      <c r="P20" s="847"/>
      <c r="Q20" s="2"/>
      <c r="R20" s="194">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3">
      <c r="A21" s="2"/>
      <c r="B21" s="13" t="s">
        <v>2255</v>
      </c>
      <c r="C21" s="935"/>
      <c r="D21" s="960"/>
      <c r="E21" s="975"/>
      <c r="F21" s="976"/>
      <c r="G21" s="976"/>
      <c r="H21" s="976"/>
      <c r="I21" s="976"/>
      <c r="J21" s="977"/>
      <c r="K21" s="1099" t="s">
        <v>1433</v>
      </c>
      <c r="L21" s="1100"/>
      <c r="M21" s="1100"/>
      <c r="N21" s="1100"/>
      <c r="O21" s="1101"/>
      <c r="P21" s="248">
        <f>IF(OR(O15="ERROR",O20="ERROR"),"ERROR",IF(AND(AA12&gt;0,AA12&lt;0.01),0.01,ROUND(AA12,2)))</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3">
      <c r="A22" s="2"/>
      <c r="B22" s="1211"/>
      <c r="C22" s="1211"/>
      <c r="D22" s="1211"/>
      <c r="E22" s="1211"/>
      <c r="F22" s="1211"/>
      <c r="G22" s="1211"/>
      <c r="H22" s="1211"/>
      <c r="I22" s="1211"/>
      <c r="J22" s="1211"/>
      <c r="K22" s="1211"/>
      <c r="L22" s="1211"/>
      <c r="M22" s="1211"/>
      <c r="N22" s="1211"/>
      <c r="O22" s="1211"/>
      <c r="P22" s="384"/>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3">
      <c r="A23" s="2"/>
      <c r="B23" s="925" t="s">
        <v>1995</v>
      </c>
      <c r="C23" s="925"/>
      <c r="D23" s="925"/>
      <c r="E23" s="925"/>
      <c r="F23" s="925"/>
      <c r="G23" s="925"/>
      <c r="H23" s="925"/>
      <c r="I23" s="925"/>
      <c r="J23" s="925"/>
      <c r="K23" s="925"/>
      <c r="L23" s="925"/>
      <c r="M23" s="925"/>
      <c r="N23" s="925"/>
      <c r="O23" s="925"/>
      <c r="P23" s="385"/>
      <c r="Q23" s="2"/>
      <c r="R23" s="10"/>
      <c r="S23" s="878" t="s">
        <v>2196</v>
      </c>
      <c r="T23" s="878"/>
      <c r="U23" s="878"/>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3">
      <c r="A24" s="2"/>
      <c r="B24" s="308" t="s">
        <v>2011</v>
      </c>
      <c r="C24" s="708"/>
      <c r="D24" s="708"/>
      <c r="E24" s="708"/>
      <c r="F24" s="708"/>
      <c r="G24" s="708"/>
      <c r="H24" s="708"/>
      <c r="I24" s="708"/>
      <c r="J24" s="708"/>
      <c r="K24" s="708"/>
      <c r="L24" s="708"/>
      <c r="M24" s="708"/>
      <c r="N24" s="708"/>
      <c r="O24" s="60"/>
      <c r="P24" s="21">
        <f>IF($W$239&gt;0,0,R24)</f>
        <v>0</v>
      </c>
      <c r="Q24" s="2"/>
      <c r="R24" s="147">
        <f>IF(C24=S24,0,IF(C24=T24,0.05,IF(C24=U24,0.1,0)))</f>
        <v>0</v>
      </c>
      <c r="S24" s="50" t="s">
        <v>1941</v>
      </c>
      <c r="T24" s="50" t="s">
        <v>1784</v>
      </c>
      <c r="U24" s="50" t="s">
        <v>1785</v>
      </c>
      <c r="V24" s="97"/>
      <c r="W24" s="96"/>
      <c r="X24" s="13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3">
      <c r="A25" s="2"/>
      <c r="B25" s="308" t="s">
        <v>2012</v>
      </c>
      <c r="C25" s="708"/>
      <c r="D25" s="708"/>
      <c r="E25" s="708"/>
      <c r="F25" s="708"/>
      <c r="G25" s="708"/>
      <c r="H25" s="708"/>
      <c r="I25" s="708"/>
      <c r="J25" s="708"/>
      <c r="K25" s="708"/>
      <c r="L25" s="708"/>
      <c r="M25" s="708"/>
      <c r="N25" s="708"/>
      <c r="O25" s="60"/>
      <c r="P25" s="21">
        <f>IF($W$239&gt;0,0,R25)</f>
        <v>0</v>
      </c>
      <c r="Q25" s="2"/>
      <c r="R25" s="147">
        <f>IF(C25=S25,0,IF(C25=T25,0.05,IF(C25=U25,0.1,0)))</f>
        <v>0</v>
      </c>
      <c r="S25" s="50" t="s">
        <v>1941</v>
      </c>
      <c r="T25" s="50" t="s">
        <v>1996</v>
      </c>
      <c r="U25" s="50" t="s">
        <v>1997</v>
      </c>
      <c r="V25" s="523"/>
      <c r="W25" s="96"/>
      <c r="X25" s="133"/>
      <c r="Y25" s="52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3">
      <c r="A26" s="2"/>
      <c r="B26" s="1056" t="str">
        <f>IF(AND(OR(R24&gt;0,R25&gt;0),$W$239&gt;0),"A value has been given for loss of sensation or hypersensitivity in the foot. No additional value is allowed for the toes.","")</f>
        <v/>
      </c>
      <c r="C26" s="1056"/>
      <c r="D26" s="1056"/>
      <c r="E26" s="1056"/>
      <c r="F26" s="1056"/>
      <c r="G26" s="1056"/>
      <c r="H26" s="1056"/>
      <c r="I26" s="1056"/>
      <c r="J26" s="1056"/>
      <c r="K26" s="1056"/>
      <c r="L26" s="1056"/>
      <c r="M26" s="1056"/>
      <c r="N26" s="1056"/>
      <c r="O26" s="1056"/>
      <c r="P26" s="199"/>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3">
      <c r="A27" s="2"/>
      <c r="B27" s="712"/>
      <c r="C27" s="792"/>
      <c r="D27" s="792"/>
      <c r="E27" s="792"/>
      <c r="F27" s="792"/>
      <c r="G27" s="792"/>
      <c r="H27" s="792"/>
      <c r="I27" s="792"/>
      <c r="J27" s="792"/>
      <c r="K27" s="792"/>
      <c r="L27" s="792"/>
      <c r="M27" s="792"/>
      <c r="N27" s="792"/>
      <c r="O27" s="792"/>
      <c r="P27" s="63"/>
      <c r="Q27" s="2"/>
      <c r="R27" s="10"/>
      <c r="S27" s="10"/>
      <c r="Y27" s="10"/>
      <c r="Z27" s="739"/>
      <c r="AA27" s="739"/>
      <c r="AB27" s="739"/>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3">
      <c r="A28" s="2"/>
      <c r="B28" s="776" t="s">
        <v>2015</v>
      </c>
      <c r="C28" s="776"/>
      <c r="D28" s="776"/>
      <c r="E28" s="776"/>
      <c r="F28" s="776"/>
      <c r="G28" s="776"/>
      <c r="H28" s="776"/>
      <c r="I28" s="776"/>
      <c r="J28" s="776"/>
      <c r="K28" s="776"/>
      <c r="L28" s="776"/>
      <c r="M28" s="776"/>
      <c r="N28" s="708"/>
      <c r="O28" s="708"/>
      <c r="P28" s="21">
        <f>IF(N28=T28,0.03,IF(N28=U28,0.15,IF(N28=V28,0.38,IF(N28=W28,0.68,IF(N28=X28,0.9,0)))))</f>
        <v>0</v>
      </c>
      <c r="Q28" s="2"/>
      <c r="R28" s="878" t="s">
        <v>2196</v>
      </c>
      <c r="S28" s="878"/>
      <c r="T28" s="50" t="s">
        <v>1968</v>
      </c>
      <c r="U28" s="50" t="s">
        <v>1969</v>
      </c>
      <c r="V28" s="147" t="s">
        <v>1971</v>
      </c>
      <c r="W28" s="50" t="s">
        <v>945</v>
      </c>
      <c r="X28" s="147" t="s">
        <v>558</v>
      </c>
      <c r="Y28" s="10"/>
      <c r="Z28" s="739"/>
      <c r="AA28" s="739"/>
      <c r="AB28" s="739"/>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3">
      <c r="A29" s="2"/>
      <c r="B29" s="527"/>
      <c r="C29" s="527"/>
      <c r="D29" s="527"/>
      <c r="E29" s="527"/>
      <c r="F29" s="527"/>
      <c r="G29" s="527"/>
      <c r="H29" s="527"/>
      <c r="I29" s="527"/>
      <c r="J29" s="527"/>
      <c r="K29" s="527"/>
      <c r="L29" s="527"/>
      <c r="M29" s="527"/>
      <c r="N29" s="527"/>
      <c r="O29" s="527"/>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3">
      <c r="A30" s="15">
        <v>1E-4</v>
      </c>
      <c r="B30" s="259" t="s">
        <v>624</v>
      </c>
      <c r="C30" s="1083"/>
      <c r="D30" s="1022"/>
      <c r="E30" s="757" t="s">
        <v>625</v>
      </c>
      <c r="F30" s="758"/>
      <c r="G30" s="758"/>
      <c r="H30" s="758"/>
      <c r="I30" s="758"/>
      <c r="J30" s="758"/>
      <c r="K30" s="758"/>
      <c r="L30" s="758"/>
      <c r="M30" s="758"/>
      <c r="N30" s="758"/>
      <c r="O30" s="759"/>
      <c r="P30" s="248">
        <f>IF(T30=1,0.2,0)</f>
        <v>0</v>
      </c>
      <c r="Q30" s="2"/>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3">
      <c r="A31" s="2"/>
      <c r="B31" s="386" t="s">
        <v>626</v>
      </c>
      <c r="C31" s="1025"/>
      <c r="D31" s="1025"/>
      <c r="E31" s="937" t="s">
        <v>627</v>
      </c>
      <c r="F31" s="938"/>
      <c r="G31" s="938"/>
      <c r="H31" s="938"/>
      <c r="I31" s="938"/>
      <c r="J31" s="938"/>
      <c r="K31" s="938"/>
      <c r="L31" s="938"/>
      <c r="M31" s="938"/>
      <c r="N31" s="938"/>
      <c r="O31" s="939"/>
      <c r="P31" s="278">
        <f>IF(T31=1,0.3,0)</f>
        <v>0</v>
      </c>
      <c r="Q31" s="2"/>
      <c r="R31" s="10"/>
      <c r="S31" s="570"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3">
      <c r="A32" s="2"/>
      <c r="B32" s="1212"/>
      <c r="C32" s="1212"/>
      <c r="D32" s="1212"/>
      <c r="E32" s="1212"/>
      <c r="F32" s="1212"/>
      <c r="G32" s="1212"/>
      <c r="H32" s="1212"/>
      <c r="I32" s="1212"/>
      <c r="J32" s="1212"/>
      <c r="K32" s="1212"/>
      <c r="L32" s="1212"/>
      <c r="M32" s="1212"/>
      <c r="N32" s="1212"/>
      <c r="O32" s="1212"/>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3">
      <c r="A33" s="2"/>
      <c r="B33" s="879" t="s">
        <v>441</v>
      </c>
      <c r="C33" s="880"/>
      <c r="D33" s="880"/>
      <c r="E33" s="880"/>
      <c r="F33" s="880"/>
      <c r="G33" s="922" t="s">
        <v>1524</v>
      </c>
      <c r="H33" s="941"/>
      <c r="I33" s="941"/>
      <c r="J33" s="941"/>
      <c r="K33" s="942"/>
      <c r="L33" s="1003"/>
      <c r="M33" s="1004"/>
      <c r="N33" s="1004"/>
      <c r="O33" s="1005"/>
      <c r="P33" s="872">
        <f>V39</f>
        <v>0</v>
      </c>
      <c r="Q33" s="2"/>
      <c r="R33" s="10"/>
      <c r="S33" s="50" t="s">
        <v>1864</v>
      </c>
      <c r="T33" s="50" t="s">
        <v>1304</v>
      </c>
      <c r="U33" s="50" t="s">
        <v>1305</v>
      </c>
      <c r="V33" s="50" t="s">
        <v>1306</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3">
      <c r="A34" s="2"/>
      <c r="B34" s="791" t="s">
        <v>628</v>
      </c>
      <c r="C34" s="791"/>
      <c r="D34" s="791"/>
      <c r="E34" s="996">
        <f>P8</f>
        <v>0</v>
      </c>
      <c r="F34" s="877"/>
      <c r="G34" s="940" t="s">
        <v>1941</v>
      </c>
      <c r="H34" s="941"/>
      <c r="I34" s="942"/>
      <c r="J34" s="1258"/>
      <c r="K34" s="1258"/>
      <c r="L34" s="1006"/>
      <c r="M34" s="1007"/>
      <c r="N34" s="1007"/>
      <c r="O34" s="1008"/>
      <c r="P34" s="1010"/>
      <c r="Q34" s="2"/>
      <c r="R34" s="10"/>
      <c r="S34" s="557">
        <f>E34</f>
        <v>0</v>
      </c>
      <c r="T34" s="147">
        <f>LARGE($S$34:$S$40,1)</f>
        <v>0</v>
      </c>
      <c r="U34" s="553">
        <f>T34+T35*(1-T34)</f>
        <v>0</v>
      </c>
      <c r="V34" s="557">
        <f t="shared" ref="V34:V39" si="0">ROUND(U34,2)</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3">
      <c r="A35" s="2"/>
      <c r="B35" s="806" t="s">
        <v>1958</v>
      </c>
      <c r="C35" s="806"/>
      <c r="D35" s="806"/>
      <c r="E35" s="770">
        <f>IF(P427&gt;0,0,P21)</f>
        <v>0</v>
      </c>
      <c r="F35" s="747"/>
      <c r="G35" s="1115" t="s">
        <v>2256</v>
      </c>
      <c r="H35" s="1177"/>
      <c r="I35" s="1116"/>
      <c r="J35" s="1258"/>
      <c r="K35" s="1258"/>
      <c r="L35" s="1006"/>
      <c r="M35" s="1007"/>
      <c r="N35" s="1007"/>
      <c r="O35" s="1008"/>
      <c r="P35" s="1010"/>
      <c r="Q35" s="2"/>
      <c r="S35" s="147">
        <f>IF(J35&gt;0,J35,E35)</f>
        <v>0</v>
      </c>
      <c r="T35" s="147">
        <f>LARGE($S$34:$S$40,2)</f>
        <v>0</v>
      </c>
      <c r="U35" s="553">
        <f>V34+T36*(1-V34)</f>
        <v>0</v>
      </c>
      <c r="V35" s="557">
        <f t="shared" si="0"/>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3">
      <c r="A36" s="2"/>
      <c r="B36" s="806" t="s">
        <v>2016</v>
      </c>
      <c r="C36" s="806"/>
      <c r="D36" s="806"/>
      <c r="E36" s="770">
        <f>P24</f>
        <v>0</v>
      </c>
      <c r="F36" s="747"/>
      <c r="G36" s="1028"/>
      <c r="H36" s="1028"/>
      <c r="I36" s="1028"/>
      <c r="J36" s="1188">
        <f>IF(AND(W36&lt;0.01,W36&gt;0),0.01,ROUND(W36,2))</f>
        <v>0</v>
      </c>
      <c r="K36" s="1188"/>
      <c r="L36" s="1006"/>
      <c r="M36" s="1007"/>
      <c r="N36" s="1007"/>
      <c r="O36" s="1008"/>
      <c r="P36" s="1010"/>
      <c r="Q36" s="2"/>
      <c r="S36" s="147">
        <f>IF(J36&gt;0,J36,E36)</f>
        <v>0</v>
      </c>
      <c r="T36" s="147">
        <f>LARGE($S$34:$S$40,3)</f>
        <v>0</v>
      </c>
      <c r="U36" s="553">
        <f>V35+T37*(1-V35)</f>
        <v>0</v>
      </c>
      <c r="V36" s="557">
        <f t="shared" si="0"/>
        <v>0</v>
      </c>
      <c r="W36" s="21">
        <f>G36*E36</f>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3">
      <c r="A37" s="2"/>
      <c r="B37" s="757" t="s">
        <v>1226</v>
      </c>
      <c r="C37" s="758"/>
      <c r="D37" s="759"/>
      <c r="E37" s="770">
        <f>P25</f>
        <v>0</v>
      </c>
      <c r="F37" s="747"/>
      <c r="G37" s="1028"/>
      <c r="H37" s="1028"/>
      <c r="I37" s="1028"/>
      <c r="J37" s="1188">
        <f>IF(AND(W37&lt;0.01,W37&gt;0),0.01,ROUND(W37,2))</f>
        <v>0</v>
      </c>
      <c r="K37" s="1188"/>
      <c r="L37" s="972" t="str">
        <f>IF(AND(P21&gt;0,$P$427&gt;0),"The worker has motor loss impairment. No additional impairment value is allowed for reduced range of motion in the same extremity.","")</f>
        <v/>
      </c>
      <c r="M37" s="973"/>
      <c r="N37" s="973"/>
      <c r="O37" s="974"/>
      <c r="P37" s="1010"/>
      <c r="Q37" s="2"/>
      <c r="S37" s="147">
        <f>IF(J37&gt;0,J37,E37)</f>
        <v>0</v>
      </c>
      <c r="T37" s="147">
        <f>LARGE($S$34:$S$40,4)</f>
        <v>0</v>
      </c>
      <c r="U37" s="553">
        <f>V36+T38*(1-V36)</f>
        <v>0</v>
      </c>
      <c r="V37" s="557">
        <f t="shared" si="0"/>
        <v>0</v>
      </c>
      <c r="W37" s="21">
        <f t="shared" ref="W37:W38" si="1">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3">
      <c r="A38" s="2"/>
      <c r="B38" s="757" t="s">
        <v>1446</v>
      </c>
      <c r="C38" s="758"/>
      <c r="D38" s="759"/>
      <c r="E38" s="742">
        <f>P28</f>
        <v>0</v>
      </c>
      <c r="F38" s="744"/>
      <c r="G38" s="1028"/>
      <c r="H38" s="1028"/>
      <c r="I38" s="1028"/>
      <c r="J38" s="1188">
        <f>IF(AND(W38&lt;0.01,W38&gt;0),0.01,ROUND(W38,2))</f>
        <v>0</v>
      </c>
      <c r="K38" s="1188"/>
      <c r="L38" s="972"/>
      <c r="M38" s="973"/>
      <c r="N38" s="973"/>
      <c r="O38" s="974"/>
      <c r="P38" s="1010"/>
      <c r="Q38" s="2"/>
      <c r="S38" s="147">
        <f>IF(J38&gt;0,J38,E38)</f>
        <v>0</v>
      </c>
      <c r="T38" s="147">
        <f>LARGE($S$34:$S$40,5)</f>
        <v>0</v>
      </c>
      <c r="U38" s="553">
        <f>V37+T39*(1-V37)</f>
        <v>0</v>
      </c>
      <c r="V38" s="557">
        <f t="shared" si="0"/>
        <v>0</v>
      </c>
      <c r="W38" s="21">
        <f t="shared" si="1"/>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3">
      <c r="A39" s="2"/>
      <c r="B39" s="806" t="s">
        <v>1127</v>
      </c>
      <c r="C39" s="806"/>
      <c r="D39" s="806"/>
      <c r="E39" s="770">
        <f>P30</f>
        <v>0</v>
      </c>
      <c r="F39" s="747"/>
      <c r="G39" s="940" t="s">
        <v>1941</v>
      </c>
      <c r="H39" s="941"/>
      <c r="I39" s="942"/>
      <c r="J39" s="1258"/>
      <c r="K39" s="1258"/>
      <c r="L39" s="972"/>
      <c r="M39" s="973"/>
      <c r="N39" s="973"/>
      <c r="O39" s="974"/>
      <c r="P39" s="1010"/>
      <c r="Q39" s="2"/>
      <c r="R39" s="10"/>
      <c r="S39" s="557">
        <f>E39</f>
        <v>0</v>
      </c>
      <c r="T39" s="147">
        <f>LARGE($S$34:$S$40,6)</f>
        <v>0</v>
      </c>
      <c r="U39" s="553">
        <f>V38+T40*(1-V38)</f>
        <v>0</v>
      </c>
      <c r="V39" s="557">
        <f t="shared" si="0"/>
        <v>0</v>
      </c>
      <c r="W39" s="10"/>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3">
      <c r="A40" s="2"/>
      <c r="B40" s="797" t="s">
        <v>1128</v>
      </c>
      <c r="C40" s="798"/>
      <c r="D40" s="799"/>
      <c r="E40" s="1079">
        <f>P31</f>
        <v>0</v>
      </c>
      <c r="F40" s="1187"/>
      <c r="G40" s="1166" t="s">
        <v>1941</v>
      </c>
      <c r="H40" s="1161"/>
      <c r="I40" s="1167"/>
      <c r="J40" s="1259"/>
      <c r="K40" s="1259"/>
      <c r="L40" s="972"/>
      <c r="M40" s="973"/>
      <c r="N40" s="973"/>
      <c r="O40" s="974"/>
      <c r="P40" s="1010"/>
      <c r="Q40" s="2"/>
      <c r="R40" s="10"/>
      <c r="S40" s="557">
        <f>E40</f>
        <v>0</v>
      </c>
      <c r="T40" s="147">
        <f>LARGE($S$34:$S$40,7)</f>
        <v>0</v>
      </c>
      <c r="U40" s="96"/>
      <c r="V40" s="129"/>
      <c r="W40" s="10"/>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3">
      <c r="A41" s="2"/>
      <c r="B41" s="958" t="s">
        <v>1434</v>
      </c>
      <c r="C41" s="958"/>
      <c r="D41" s="958"/>
      <c r="E41" s="958"/>
      <c r="F41" s="958"/>
      <c r="G41" s="958"/>
      <c r="H41" s="958"/>
      <c r="I41" s="958"/>
      <c r="J41" s="958"/>
      <c r="K41" s="958"/>
      <c r="L41" s="958"/>
      <c r="M41" s="958"/>
      <c r="N41" s="958"/>
      <c r="O41" s="958"/>
      <c r="P41" s="996"/>
      <c r="Q41" s="2"/>
      <c r="R41" s="10"/>
      <c r="S41" s="14"/>
      <c r="T41" s="96"/>
      <c r="U41" s="129"/>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3">
      <c r="A42" s="2"/>
      <c r="B42" s="792"/>
      <c r="C42" s="792"/>
      <c r="D42" s="792"/>
      <c r="E42" s="792"/>
      <c r="F42" s="792"/>
      <c r="G42" s="792"/>
      <c r="H42" s="792"/>
      <c r="I42" s="792"/>
      <c r="J42" s="792"/>
      <c r="K42" s="792"/>
      <c r="L42" s="792"/>
      <c r="M42" s="792"/>
      <c r="N42" s="792"/>
      <c r="O42" s="792"/>
      <c r="P42" s="792"/>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3">
      <c r="A43" s="2"/>
      <c r="B43" s="792"/>
      <c r="C43" s="792"/>
      <c r="D43" s="792"/>
      <c r="E43" s="792"/>
      <c r="F43" s="792"/>
      <c r="G43" s="792"/>
      <c r="H43" s="792"/>
      <c r="I43" s="792"/>
      <c r="J43" s="792"/>
      <c r="K43" s="792"/>
      <c r="L43" s="792"/>
      <c r="M43" s="792"/>
      <c r="N43" s="792"/>
      <c r="O43" s="792"/>
      <c r="P43" s="792"/>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3">
      <c r="A44" s="2"/>
      <c r="B44" s="947" t="s">
        <v>1435</v>
      </c>
      <c r="C44" s="878"/>
      <c r="D44" s="878"/>
      <c r="E44" s="878"/>
      <c r="F44" s="878"/>
      <c r="G44" s="878"/>
      <c r="H44" s="878"/>
      <c r="I44" s="878"/>
      <c r="J44" s="878"/>
      <c r="K44" s="878"/>
      <c r="L44" s="878"/>
      <c r="M44" s="878"/>
      <c r="N44" s="878"/>
      <c r="O44" s="878"/>
      <c r="P44" s="878"/>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3">
      <c r="A45" s="2"/>
      <c r="B45" s="925" t="s">
        <v>1130</v>
      </c>
      <c r="C45" s="925"/>
      <c r="D45" s="925"/>
      <c r="E45" s="925"/>
      <c r="F45" s="925"/>
      <c r="G45" s="925"/>
      <c r="H45" s="925"/>
      <c r="I45" s="925"/>
      <c r="J45" s="925"/>
      <c r="K45" s="925"/>
      <c r="L45" s="925"/>
      <c r="M45" s="925"/>
      <c r="N45" s="925"/>
      <c r="O45" s="925"/>
      <c r="P45" s="925"/>
      <c r="Q45" s="2"/>
      <c r="R45" s="10"/>
      <c r="S45" s="10"/>
      <c r="T45" s="77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3">
      <c r="A46" s="2"/>
      <c r="B46" s="1014"/>
      <c r="C46" s="1014"/>
      <c r="D46" s="1014"/>
      <c r="E46" s="1014"/>
      <c r="F46" s="1014"/>
      <c r="G46" s="1014"/>
      <c r="H46" s="1014"/>
      <c r="I46" s="1014"/>
      <c r="J46" s="1014"/>
      <c r="K46" s="1014"/>
      <c r="L46" s="1014"/>
      <c r="M46" s="1014"/>
      <c r="N46" s="1014"/>
      <c r="O46" s="1014"/>
      <c r="P46" s="21">
        <f>SUMIF(U45:AO45,B46,U46:AO46)</f>
        <v>0</v>
      </c>
      <c r="Q46" s="2"/>
      <c r="R46" s="10"/>
      <c r="S46" s="10"/>
      <c r="T46" s="77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35">
      <c r="A47" s="2"/>
      <c r="B47" s="1244"/>
      <c r="C47" s="1244"/>
      <c r="D47" s="1244"/>
      <c r="E47" s="1244"/>
      <c r="F47" s="1244"/>
      <c r="G47" s="1244"/>
      <c r="H47" s="1244"/>
      <c r="I47" s="1244"/>
      <c r="J47" s="1244"/>
      <c r="K47" s="1244"/>
      <c r="L47" s="1244"/>
      <c r="M47" s="1244"/>
      <c r="N47" s="1244"/>
      <c r="O47" s="1244"/>
      <c r="P47" s="1244"/>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3">
      <c r="A48" s="2"/>
      <c r="B48" s="1166" t="s">
        <v>1436</v>
      </c>
      <c r="C48" s="1161"/>
      <c r="D48" s="1161"/>
      <c r="E48" s="1161"/>
      <c r="F48" s="1161"/>
      <c r="G48" s="1161"/>
      <c r="H48" s="1161"/>
      <c r="I48" s="1161"/>
      <c r="J48" s="1161"/>
      <c r="K48" s="1161"/>
      <c r="L48" s="1161"/>
      <c r="M48" s="1161"/>
      <c r="N48" s="1161"/>
      <c r="O48" s="1161"/>
      <c r="P48" s="845"/>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3">
      <c r="A49" s="2"/>
      <c r="B49" s="259" t="s">
        <v>1545</v>
      </c>
      <c r="C49" s="1018"/>
      <c r="D49" s="1018"/>
      <c r="E49" s="1018"/>
      <c r="F49" s="1018"/>
      <c r="G49" s="1018"/>
      <c r="H49" s="1018"/>
      <c r="I49" s="1018"/>
      <c r="J49" s="1018"/>
      <c r="K49" s="1018"/>
      <c r="L49" s="1046"/>
      <c r="M49" s="1046"/>
      <c r="N49" s="1046"/>
      <c r="O49" s="64">
        <f>IF(C49=T49,0.45,IF(C49=U49,0.3,IF(C49=V49,0.45,0)))</f>
        <v>0</v>
      </c>
      <c r="P49" s="846"/>
      <c r="Q49" s="2"/>
      <c r="R49" s="927"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3">
      <c r="A50" s="2"/>
      <c r="B50" s="259" t="s">
        <v>1705</v>
      </c>
      <c r="C50" s="1018"/>
      <c r="D50" s="1018"/>
      <c r="E50" s="1018"/>
      <c r="F50" s="1018"/>
      <c r="G50" s="1018"/>
      <c r="H50" s="1018"/>
      <c r="I50" s="1018"/>
      <c r="J50" s="1018"/>
      <c r="K50" s="1018"/>
      <c r="L50" s="1046"/>
      <c r="M50" s="1046"/>
      <c r="N50" s="1046"/>
      <c r="O50" s="64">
        <f>IF(C50=T50,0.8,IF(C50=U50,0.45,IF(C50=V50,0.8,0)))</f>
        <v>0</v>
      </c>
      <c r="P50" s="846"/>
      <c r="Q50" s="2"/>
      <c r="R50" s="927"/>
      <c r="S50" s="50" t="s">
        <v>1941</v>
      </c>
      <c r="T50" s="50" t="s">
        <v>1546</v>
      </c>
      <c r="U50" s="259" t="s">
        <v>1547</v>
      </c>
      <c r="V50" s="50" t="s">
        <v>1548</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3">
      <c r="A51" s="2"/>
      <c r="B51" s="1276"/>
      <c r="C51" s="1211"/>
      <c r="D51" s="1211"/>
      <c r="E51" s="1211"/>
      <c r="F51" s="1211"/>
      <c r="G51" s="1211"/>
      <c r="H51" s="1211"/>
      <c r="I51" s="1211"/>
      <c r="J51" s="1211"/>
      <c r="K51" s="1211"/>
      <c r="L51" s="1211"/>
      <c r="M51" s="1211"/>
      <c r="N51" s="1211"/>
      <c r="O51" s="1211"/>
      <c r="P51" s="846"/>
      <c r="Q51" s="2"/>
      <c r="R51" s="10"/>
      <c r="U51" s="602"/>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3">
      <c r="A52" s="2"/>
      <c r="B52" s="653"/>
      <c r="C52" s="940" t="s">
        <v>1595</v>
      </c>
      <c r="D52" s="941"/>
      <c r="E52" s="941"/>
      <c r="F52" s="941"/>
      <c r="G52" s="927" t="s">
        <v>1081</v>
      </c>
      <c r="H52" s="927"/>
      <c r="I52" s="927"/>
      <c r="J52" s="927"/>
      <c r="K52" s="927"/>
      <c r="L52" s="792"/>
      <c r="M52" s="792"/>
      <c r="N52" s="792"/>
      <c r="O52" s="792"/>
      <c r="P52" s="846"/>
      <c r="Q52" s="2"/>
      <c r="R52" s="10"/>
      <c r="T52" s="927" t="s">
        <v>1257</v>
      </c>
      <c r="U52" s="927"/>
      <c r="V52" s="10"/>
      <c r="W52" s="10"/>
      <c r="X52" s="10"/>
      <c r="Y52" s="922" t="s">
        <v>2259</v>
      </c>
      <c r="Z52" s="926"/>
      <c r="AA52" s="923"/>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3">
      <c r="A53" s="2"/>
      <c r="B53" s="297" t="s">
        <v>1706</v>
      </c>
      <c r="C53" s="925" t="s">
        <v>365</v>
      </c>
      <c r="D53" s="925"/>
      <c r="E53" s="925" t="s">
        <v>1795</v>
      </c>
      <c r="F53" s="925"/>
      <c r="G53" s="925" t="s">
        <v>365</v>
      </c>
      <c r="H53" s="925"/>
      <c r="I53" s="925"/>
      <c r="J53" s="925" t="s">
        <v>1795</v>
      </c>
      <c r="K53" s="925"/>
      <c r="L53" s="1046"/>
      <c r="M53" s="1046"/>
      <c r="N53" s="1046"/>
      <c r="O53" s="1019"/>
      <c r="P53" s="846"/>
      <c r="Q53" s="2"/>
      <c r="R53" s="132"/>
      <c r="S53" s="128" t="s">
        <v>1572</v>
      </c>
      <c r="T53" s="259" t="s">
        <v>1595</v>
      </c>
      <c r="U53" s="259" t="s">
        <v>1596</v>
      </c>
      <c r="V53" s="925" t="s">
        <v>1083</v>
      </c>
      <c r="W53" s="925"/>
      <c r="X53" s="2"/>
      <c r="Y53" s="18">
        <f>IF(OR(O49&gt;0,O50&gt;0,E55&gt;0,E57&gt;0),1,0)</f>
        <v>0</v>
      </c>
      <c r="Z53" s="641">
        <f>IF(AND(OR(O49&gt;0,O50&gt;0),OR(E54&gt;0,E56&gt;0),C59&gt;0),C59*O58,O58)</f>
        <v>0</v>
      </c>
      <c r="AA53" s="639">
        <f>IF(AND(Y53=0,C59&gt;0),C59*AB58,AB58)</f>
        <v>0</v>
      </c>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3">
      <c r="A54" s="2"/>
      <c r="B54" s="297" t="s">
        <v>1334</v>
      </c>
      <c r="C54" s="1018"/>
      <c r="D54" s="1018"/>
      <c r="E54" s="1202">
        <f>LETable!AJ12</f>
        <v>0</v>
      </c>
      <c r="F54" s="1202"/>
      <c r="G54" s="708"/>
      <c r="H54" s="708"/>
      <c r="I54" s="708"/>
      <c r="J54" s="1206">
        <f>IF(C54="",0,IF(OR(C54&lt;=0,G54&lt;=0),E54,IF(G54&lt;C54,0,LETable!AO12)))</f>
        <v>0</v>
      </c>
      <c r="K54" s="1206"/>
      <c r="L54" s="1256" t="str">
        <f>IF(OR(C54="NA",G54="NA"),"",IF(AND(C54&lt;&gt;"",G54=""),"Enter contralateral or NA.",IF(AND(C54="",G54&lt;&gt;""),"Need data","")))</f>
        <v/>
      </c>
      <c r="M54" s="1256"/>
      <c r="N54" s="1256"/>
      <c r="O54" s="1257"/>
      <c r="P54" s="846"/>
      <c r="Q54" s="2"/>
      <c r="S54" s="50">
        <v>40</v>
      </c>
      <c r="T54" s="50" t="str">
        <f>IF(OR(C54="",C54="NA"),"",IF(C54&gt;S54,S54,IF(C54&lt;0,0,C54)))</f>
        <v/>
      </c>
      <c r="U54" s="50" t="str">
        <f>IF(OR(G54="",G54="NA"),"",IF(G54&gt;S54,S54,IF(G54&lt;0,0,G54)))</f>
        <v/>
      </c>
      <c r="V54" s="562" t="str">
        <f>IF(W54="","",ROUND(W54,0))</f>
        <v/>
      </c>
      <c r="W54" s="563"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3">
      <c r="A55" s="2"/>
      <c r="B55" s="297" t="s">
        <v>1335</v>
      </c>
      <c r="C55" s="1268"/>
      <c r="D55" s="1268"/>
      <c r="E55" s="1202">
        <f>IF(AND(C55&lt;&gt;"",C55&lt;&gt;"NA",C54&lt;&gt;"NA",C54&lt;&gt;""),"ERROR",IF(AND(C55&lt;&gt;"",C55&lt;&gt;"NA",C56&lt;&gt;"",C56&lt;&gt;"NA"),"ERROR",LETable!AJ13))</f>
        <v>0</v>
      </c>
      <c r="F55" s="1202"/>
      <c r="G55" s="946" t="str">
        <f>IF(E55="ERROR","Error: Cannot rate ROM and ankylosis.","")</f>
        <v/>
      </c>
      <c r="H55" s="946"/>
      <c r="I55" s="946"/>
      <c r="J55" s="946"/>
      <c r="K55" s="946"/>
      <c r="L55" s="946"/>
      <c r="M55" s="946"/>
      <c r="N55" s="946"/>
      <c r="O55" s="1073"/>
      <c r="P55" s="846"/>
      <c r="Q55" s="2"/>
      <c r="R55" s="95"/>
      <c r="S55" s="50">
        <v>40</v>
      </c>
      <c r="T55" s="595"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3">
      <c r="A56" s="2"/>
      <c r="B56" s="128" t="s">
        <v>1255</v>
      </c>
      <c r="C56" s="1268"/>
      <c r="D56" s="1268"/>
      <c r="E56" s="1202">
        <f>LETable!AJ14</f>
        <v>0</v>
      </c>
      <c r="F56" s="1202"/>
      <c r="G56" s="708"/>
      <c r="H56" s="708"/>
      <c r="I56" s="708"/>
      <c r="J56" s="1206">
        <f>IF(C56="",0,IF(OR(C56&lt;=0,G56&lt;=0),E56,IF(G56&lt;C56,0,LETable!AO14)))</f>
        <v>0</v>
      </c>
      <c r="K56" s="1206"/>
      <c r="L56" s="1256" t="str">
        <f>IF(OR(C56="NA",G56="NA"),"",IF(AND(C56&lt;&gt;"",G56=""),"Enter contralateral or NA.",IF(AND(C56="",G56&lt;&gt;""),"Need data","")))</f>
        <v/>
      </c>
      <c r="M56" s="1256"/>
      <c r="N56" s="1256"/>
      <c r="O56" s="1257"/>
      <c r="P56" s="846"/>
      <c r="Q56" s="2"/>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3">
      <c r="A57" s="2"/>
      <c r="B57" s="296" t="s">
        <v>1839</v>
      </c>
      <c r="C57" s="1260"/>
      <c r="D57" s="1261"/>
      <c r="E57" s="1202">
        <f>IF(AND(C57&lt;&gt;"",C57&lt;&gt;"NA",C56&lt;&gt;"NA",C56&lt;&gt;""),"ERROR",IF(AND(C57&lt;&gt;"",C57&lt;&gt;"NA",C54&lt;&gt;"",C54&lt;&gt;"NA"),"ERROR",LETable!AJ15))</f>
        <v>0</v>
      </c>
      <c r="F57" s="1202"/>
      <c r="G57" s="1203" t="str">
        <f>IF(E57="ERROR","Error: Cannot rate ROM and ankylosis.",IF(AND(C55&lt;&gt;"",C55&lt;&gt;"NA",C57&lt;&gt;"",C57&lt;&gt;"NA"),"Multiple ankylosis values; use higher value only.",""))</f>
        <v/>
      </c>
      <c r="H57" s="1204"/>
      <c r="I57" s="1204"/>
      <c r="J57" s="1204"/>
      <c r="K57" s="1204"/>
      <c r="L57" s="1204"/>
      <c r="M57" s="1204"/>
      <c r="N57" s="1204"/>
      <c r="O57" s="1205"/>
      <c r="P57" s="846"/>
      <c r="Q57" s="2"/>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3">
      <c r="A58" s="2"/>
      <c r="B58" s="636"/>
      <c r="C58" s="637"/>
      <c r="D58" s="637"/>
      <c r="E58" s="998" t="str">
        <f>IF(AND(OR(O49&gt;0,O50&gt;0,E55&gt;0,E57&gt;0),C59&gt;0),"Note: Ankylosis impairment is not apportioned.","")</f>
        <v/>
      </c>
      <c r="F58" s="999"/>
      <c r="G58" s="999"/>
      <c r="H58" s="999"/>
      <c r="I58" s="999"/>
      <c r="J58" s="1000"/>
      <c r="K58" s="1099" t="s">
        <v>1841</v>
      </c>
      <c r="L58" s="1100"/>
      <c r="M58" s="1100"/>
      <c r="N58" s="1101"/>
      <c r="O58" s="59">
        <f>IF(OR(E55="ERROR",E57="ERROR"),"ERROR",IF(R58&gt;1,1,R58))</f>
        <v>0</v>
      </c>
      <c r="P58" s="847"/>
      <c r="Q58" s="2"/>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3">
      <c r="A59" s="2"/>
      <c r="B59" s="13" t="s">
        <v>2255</v>
      </c>
      <c r="C59" s="935"/>
      <c r="D59" s="960"/>
      <c r="E59" s="975"/>
      <c r="F59" s="976"/>
      <c r="G59" s="976"/>
      <c r="H59" s="976"/>
      <c r="I59" s="976"/>
      <c r="J59" s="977"/>
      <c r="K59" s="1099" t="s">
        <v>433</v>
      </c>
      <c r="L59" s="1100"/>
      <c r="M59" s="1100"/>
      <c r="N59" s="1100"/>
      <c r="O59" s="1101"/>
      <c r="P59" s="248">
        <f>IF(O58="ERROR","ERROR",IF(AND(AA53&gt;0,AA53&lt;0.01),0.01,ROUND(AA53,2)))</f>
        <v>0</v>
      </c>
      <c r="Q59" s="2"/>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3">
      <c r="A60" s="2"/>
      <c r="B60" s="1211"/>
      <c r="C60" s="1211"/>
      <c r="D60" s="1211"/>
      <c r="E60" s="1211"/>
      <c r="F60" s="1211"/>
      <c r="G60" s="1211"/>
      <c r="H60" s="1211"/>
      <c r="I60" s="1211"/>
      <c r="J60" s="1211"/>
      <c r="K60" s="1211"/>
      <c r="L60" s="1211"/>
      <c r="M60" s="1211"/>
      <c r="N60" s="1211"/>
      <c r="O60" s="1211"/>
      <c r="P60" s="384"/>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3">
      <c r="A61" s="2"/>
      <c r="B61" s="940" t="s">
        <v>2000</v>
      </c>
      <c r="C61" s="941"/>
      <c r="D61" s="941"/>
      <c r="E61" s="941"/>
      <c r="F61" s="941"/>
      <c r="G61" s="941"/>
      <c r="H61" s="941"/>
      <c r="I61" s="941"/>
      <c r="J61" s="941"/>
      <c r="K61" s="941"/>
      <c r="L61" s="941"/>
      <c r="M61" s="941"/>
      <c r="N61" s="941"/>
      <c r="O61" s="941"/>
      <c r="P61" s="385"/>
      <c r="Q61" s="2"/>
      <c r="R61" s="10"/>
      <c r="S61" s="878" t="s">
        <v>2186</v>
      </c>
      <c r="T61" s="878"/>
      <c r="U61" s="878"/>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3">
      <c r="A62" s="2"/>
      <c r="B62" s="308" t="s">
        <v>2011</v>
      </c>
      <c r="C62" s="1270"/>
      <c r="D62" s="1271"/>
      <c r="E62" s="1271"/>
      <c r="F62" s="1271"/>
      <c r="G62" s="1271"/>
      <c r="H62" s="1271"/>
      <c r="I62" s="1271"/>
      <c r="J62" s="1271"/>
      <c r="K62" s="1271"/>
      <c r="L62" s="1271"/>
      <c r="M62" s="1271"/>
      <c r="N62" s="1271"/>
      <c r="O62" s="66"/>
      <c r="P62" s="21">
        <f>IF($W$239&gt;0,0,R62)</f>
        <v>0</v>
      </c>
      <c r="Q62" s="2"/>
      <c r="R62" s="147">
        <f>IF(C62=S62,0,IF(C62=T62,0.05,IF(C62=U62,0.1,0)))</f>
        <v>0</v>
      </c>
      <c r="S62" s="50" t="s">
        <v>1941</v>
      </c>
      <c r="T62" s="50" t="s">
        <v>1784</v>
      </c>
      <c r="U62" s="50" t="s">
        <v>1785</v>
      </c>
      <c r="V62" s="97"/>
      <c r="W62" s="96"/>
      <c r="X62" s="133"/>
      <c r="Y62" s="1262"/>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3">
      <c r="A63" s="2"/>
      <c r="B63" s="308" t="s">
        <v>2012</v>
      </c>
      <c r="C63" s="1270"/>
      <c r="D63" s="1271"/>
      <c r="E63" s="1271"/>
      <c r="F63" s="1271"/>
      <c r="G63" s="1271"/>
      <c r="H63" s="1271"/>
      <c r="I63" s="1271"/>
      <c r="J63" s="1271"/>
      <c r="K63" s="1271"/>
      <c r="L63" s="1271"/>
      <c r="M63" s="1271"/>
      <c r="N63" s="1271"/>
      <c r="O63" s="66"/>
      <c r="P63" s="21">
        <f>IF($W$239&gt;0,0,R63)</f>
        <v>0</v>
      </c>
      <c r="Q63" s="2"/>
      <c r="R63" s="147">
        <f>IF(C63=S63,0,IF(C63=T63,0.05,IF(C63=U63,0.1,0)))</f>
        <v>0</v>
      </c>
      <c r="S63" s="50" t="s">
        <v>1941</v>
      </c>
      <c r="T63" s="50" t="s">
        <v>1996</v>
      </c>
      <c r="U63" s="50" t="s">
        <v>1997</v>
      </c>
      <c r="V63" s="97"/>
      <c r="W63" s="96"/>
      <c r="X63" s="133"/>
      <c r="Y63" s="1262"/>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3">
      <c r="A64" s="2"/>
      <c r="B64" s="1056" t="str">
        <f>IF(AND(OR(R62&gt;0,R63&gt;0),$W$239&gt;0),"A value has been given for loss of sensation or hypersensitivity in the foot. No additional value is allowed for the toes.","")</f>
        <v/>
      </c>
      <c r="C64" s="1056"/>
      <c r="D64" s="1056"/>
      <c r="E64" s="1056"/>
      <c r="F64" s="1056"/>
      <c r="G64" s="1056"/>
      <c r="H64" s="1056"/>
      <c r="I64" s="1056"/>
      <c r="J64" s="1056"/>
      <c r="K64" s="1056"/>
      <c r="L64" s="1056"/>
      <c r="M64" s="1056"/>
      <c r="N64" s="1056"/>
      <c r="O64" s="1056"/>
      <c r="P64" s="199"/>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3">
      <c r="A65" s="2"/>
      <c r="B65" s="712"/>
      <c r="C65" s="792"/>
      <c r="D65" s="792"/>
      <c r="E65" s="792"/>
      <c r="F65" s="792"/>
      <c r="G65" s="792"/>
      <c r="H65" s="792"/>
      <c r="I65" s="792"/>
      <c r="J65" s="792"/>
      <c r="K65" s="792"/>
      <c r="L65" s="792"/>
      <c r="M65" s="792"/>
      <c r="N65" s="792"/>
      <c r="O65" s="792"/>
      <c r="P65" s="63"/>
      <c r="Q65" s="2"/>
      <c r="R65" s="10"/>
      <c r="S65" s="10"/>
      <c r="Y65" s="10"/>
      <c r="Z65" s="739"/>
      <c r="AA65" s="739"/>
      <c r="AB65" s="739"/>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3">
      <c r="A66" s="2"/>
      <c r="B66" s="776" t="s">
        <v>2015</v>
      </c>
      <c r="C66" s="776"/>
      <c r="D66" s="776"/>
      <c r="E66" s="776"/>
      <c r="F66" s="776"/>
      <c r="G66" s="776"/>
      <c r="H66" s="776"/>
      <c r="I66" s="776"/>
      <c r="J66" s="776"/>
      <c r="K66" s="776"/>
      <c r="L66" s="776"/>
      <c r="M66" s="776"/>
      <c r="N66" s="708"/>
      <c r="O66" s="708"/>
      <c r="P66" s="21">
        <f>IF(N66=T66,0.03,IF(N66=U66,0.15,IF(N66=V66,0.38,IF(N66=W66,0.68,IF(N66=X66,0.9,0)))))</f>
        <v>0</v>
      </c>
      <c r="Q66" s="2"/>
      <c r="R66" s="878" t="s">
        <v>2196</v>
      </c>
      <c r="S66" s="878"/>
      <c r="T66" s="50" t="s">
        <v>1968</v>
      </c>
      <c r="U66" s="50" t="s">
        <v>1969</v>
      </c>
      <c r="V66" s="147" t="s">
        <v>1971</v>
      </c>
      <c r="W66" s="50" t="s">
        <v>945</v>
      </c>
      <c r="X66" s="147" t="s">
        <v>558</v>
      </c>
      <c r="Y66" s="10"/>
      <c r="Z66" s="739"/>
      <c r="AA66" s="739"/>
      <c r="AB66" s="739"/>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3">
      <c r="A67" s="2"/>
      <c r="B67" s="527"/>
      <c r="C67" s="527"/>
      <c r="D67" s="527"/>
      <c r="E67" s="527"/>
      <c r="F67" s="527"/>
      <c r="G67" s="527"/>
      <c r="H67" s="527"/>
      <c r="I67" s="527"/>
      <c r="J67" s="527"/>
      <c r="K67" s="527"/>
      <c r="L67" s="527"/>
      <c r="M67" s="527"/>
      <c r="N67" s="527"/>
      <c r="O67" s="527"/>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3">
      <c r="A68" s="15"/>
      <c r="B68" s="259" t="s">
        <v>1708</v>
      </c>
      <c r="C68" s="1213"/>
      <c r="D68" s="1213"/>
      <c r="E68" s="757" t="s">
        <v>1709</v>
      </c>
      <c r="F68" s="758"/>
      <c r="G68" s="758"/>
      <c r="H68" s="758"/>
      <c r="I68" s="758"/>
      <c r="J68" s="758"/>
      <c r="K68" s="758"/>
      <c r="L68" s="758"/>
      <c r="M68" s="758"/>
      <c r="N68" s="758"/>
      <c r="O68" s="758"/>
      <c r="P68" s="248">
        <f>IF(T68=1,0.15,0)</f>
        <v>0</v>
      </c>
      <c r="Q68" s="2"/>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3">
      <c r="A69" s="2"/>
      <c r="B69" s="259" t="s">
        <v>1710</v>
      </c>
      <c r="C69" s="1213"/>
      <c r="D69" s="1213"/>
      <c r="E69" s="757" t="s">
        <v>1711</v>
      </c>
      <c r="F69" s="758"/>
      <c r="G69" s="758"/>
      <c r="H69" s="758"/>
      <c r="I69" s="758"/>
      <c r="J69" s="758"/>
      <c r="K69" s="758"/>
      <c r="L69" s="758"/>
      <c r="M69" s="758"/>
      <c r="N69" s="758"/>
      <c r="O69" s="758"/>
      <c r="P69" s="248">
        <f>IF(T69=1,0.25,0)</f>
        <v>0</v>
      </c>
      <c r="Q69" s="2"/>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3">
      <c r="A70" s="2"/>
      <c r="B70" s="386" t="s">
        <v>626</v>
      </c>
      <c r="C70" s="1025"/>
      <c r="D70" s="1025"/>
      <c r="E70" s="937" t="s">
        <v>627</v>
      </c>
      <c r="F70" s="938"/>
      <c r="G70" s="938"/>
      <c r="H70" s="938"/>
      <c r="I70" s="938"/>
      <c r="J70" s="938"/>
      <c r="K70" s="938"/>
      <c r="L70" s="938"/>
      <c r="M70" s="938"/>
      <c r="N70" s="938"/>
      <c r="O70" s="938"/>
      <c r="P70" s="278">
        <f>IF(T70=1,0.25,0)</f>
        <v>0</v>
      </c>
      <c r="Q70" s="2"/>
      <c r="R70" s="10"/>
      <c r="S70" s="570"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3">
      <c r="A71" s="2"/>
      <c r="B71" s="1212"/>
      <c r="C71" s="1212"/>
      <c r="D71" s="1212"/>
      <c r="E71" s="1212"/>
      <c r="F71" s="1212"/>
      <c r="G71" s="1212"/>
      <c r="H71" s="1212"/>
      <c r="I71" s="1212"/>
      <c r="J71" s="1212"/>
      <c r="K71" s="1212"/>
      <c r="L71" s="1212"/>
      <c r="M71" s="1212"/>
      <c r="N71" s="1212"/>
      <c r="O71" s="1212"/>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3">
      <c r="A72" s="2"/>
      <c r="B72" s="879" t="s">
        <v>442</v>
      </c>
      <c r="C72" s="880"/>
      <c r="D72" s="880"/>
      <c r="E72" s="880"/>
      <c r="F72" s="880"/>
      <c r="G72" s="927" t="s">
        <v>1524</v>
      </c>
      <c r="H72" s="925"/>
      <c r="I72" s="925"/>
      <c r="J72" s="925"/>
      <c r="K72" s="925"/>
      <c r="L72" s="1003"/>
      <c r="M72" s="1004"/>
      <c r="N72" s="1004"/>
      <c r="O72" s="1005"/>
      <c r="P72" s="872">
        <f>V79</f>
        <v>0</v>
      </c>
      <c r="Q72" s="2"/>
      <c r="R72" s="10"/>
      <c r="S72" s="50" t="s">
        <v>1864</v>
      </c>
      <c r="T72" s="50" t="s">
        <v>1304</v>
      </c>
      <c r="U72" s="50" t="s">
        <v>1305</v>
      </c>
      <c r="V72" s="50" t="s">
        <v>1306</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3">
      <c r="A73" s="2"/>
      <c r="B73" s="806" t="s">
        <v>628</v>
      </c>
      <c r="C73" s="806"/>
      <c r="D73" s="806"/>
      <c r="E73" s="770">
        <f>P46</f>
        <v>0</v>
      </c>
      <c r="F73" s="746"/>
      <c r="G73" s="940" t="s">
        <v>1941</v>
      </c>
      <c r="H73" s="941"/>
      <c r="I73" s="942"/>
      <c r="J73" s="925"/>
      <c r="K73" s="925"/>
      <c r="L73" s="1003"/>
      <c r="M73" s="1004"/>
      <c r="N73" s="1004"/>
      <c r="O73" s="1005"/>
      <c r="P73" s="1010"/>
      <c r="Q73" s="2"/>
      <c r="R73" s="10"/>
      <c r="S73" s="557">
        <f>E73</f>
        <v>0</v>
      </c>
      <c r="T73" s="147">
        <f>LARGE($S$73:$S$80,1)</f>
        <v>0</v>
      </c>
      <c r="U73" s="553">
        <f>T73+T74*(1-T73)</f>
        <v>0</v>
      </c>
      <c r="V73" s="557">
        <f t="shared" ref="V73:V79" si="2">ROUND(U73,2)</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3">
      <c r="A74" s="2"/>
      <c r="B74" s="806" t="s">
        <v>1958</v>
      </c>
      <c r="C74" s="806"/>
      <c r="D74" s="806"/>
      <c r="E74" s="770">
        <f>IF(P427&gt;0,0,P59)</f>
        <v>0</v>
      </c>
      <c r="F74" s="746"/>
      <c r="G74" s="1115" t="s">
        <v>2256</v>
      </c>
      <c r="H74" s="1177"/>
      <c r="I74" s="1116"/>
      <c r="J74" s="925"/>
      <c r="K74" s="925"/>
      <c r="L74" s="1006"/>
      <c r="M74" s="1007"/>
      <c r="N74" s="1007"/>
      <c r="O74" s="1008"/>
      <c r="P74" s="1010"/>
      <c r="Q74" s="2"/>
      <c r="R74" s="10"/>
      <c r="S74" s="147">
        <f>IF(J74&gt;0,J74,E74)</f>
        <v>0</v>
      </c>
      <c r="T74" s="147">
        <f>LARGE($S$73:$S$80,2)</f>
        <v>0</v>
      </c>
      <c r="U74" s="553">
        <f t="shared" ref="U74:U79" si="3">V73+T75*(1-V73)</f>
        <v>0</v>
      </c>
      <c r="V74" s="557">
        <f t="shared" si="2"/>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3">
      <c r="A75" s="2"/>
      <c r="B75" s="806" t="s">
        <v>2016</v>
      </c>
      <c r="C75" s="806"/>
      <c r="D75" s="806"/>
      <c r="E75" s="770">
        <f>P62</f>
        <v>0</v>
      </c>
      <c r="F75" s="746"/>
      <c r="G75" s="1028"/>
      <c r="H75" s="1028"/>
      <c r="I75" s="1028"/>
      <c r="J75" s="1188">
        <f>IF(AND(W75&lt;0.01,W75&gt;0),0.01,ROUND(W75,2))</f>
        <v>0</v>
      </c>
      <c r="K75" s="1188"/>
      <c r="L75" s="1006"/>
      <c r="M75" s="1007"/>
      <c r="N75" s="1007"/>
      <c r="O75" s="1008"/>
      <c r="P75" s="1010"/>
      <c r="Q75" s="2"/>
      <c r="R75" s="10"/>
      <c r="S75" s="147">
        <f>IF(J75&gt;0,J75,E75)</f>
        <v>0</v>
      </c>
      <c r="T75" s="147">
        <f>LARGE($S$73:$S$80,3)</f>
        <v>0</v>
      </c>
      <c r="U75" s="553">
        <f t="shared" si="3"/>
        <v>0</v>
      </c>
      <c r="V75" s="557">
        <f t="shared" si="2"/>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3">
      <c r="A76" s="2"/>
      <c r="B76" s="757" t="s">
        <v>1226</v>
      </c>
      <c r="C76" s="758"/>
      <c r="D76" s="759"/>
      <c r="E76" s="770">
        <f>P63</f>
        <v>0</v>
      </c>
      <c r="F76" s="746"/>
      <c r="G76" s="1028"/>
      <c r="H76" s="1028"/>
      <c r="I76" s="1028"/>
      <c r="J76" s="1188">
        <f>IF(AND(W76&lt;0.01,W76&gt;0),0.01,ROUND(W76,2))</f>
        <v>0</v>
      </c>
      <c r="K76" s="1188"/>
      <c r="L76" s="1006"/>
      <c r="M76" s="1007"/>
      <c r="N76" s="1007"/>
      <c r="O76" s="1008"/>
      <c r="P76" s="1010"/>
      <c r="Q76" s="2"/>
      <c r="R76" s="10"/>
      <c r="S76" s="147">
        <f>IF(J76&gt;0,J76,E76)</f>
        <v>0</v>
      </c>
      <c r="T76" s="147">
        <f>LARGE($S$73:$S$80,4)</f>
        <v>0</v>
      </c>
      <c r="U76" s="553">
        <f t="shared" si="3"/>
        <v>0</v>
      </c>
      <c r="V76" s="557">
        <f t="shared" si="2"/>
        <v>0</v>
      </c>
      <c r="W76" s="21">
        <f t="shared" ref="W76:W77" si="4">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3">
      <c r="A77" s="2"/>
      <c r="B77" s="757" t="s">
        <v>1446</v>
      </c>
      <c r="C77" s="758"/>
      <c r="D77" s="759"/>
      <c r="E77" s="742">
        <f>P66</f>
        <v>0</v>
      </c>
      <c r="F77" s="744"/>
      <c r="G77" s="1028"/>
      <c r="H77" s="1028"/>
      <c r="I77" s="1028"/>
      <c r="J77" s="1188">
        <f>IF(AND(W77&lt;0.01,W77&gt;0),0.01,ROUND(W77,2))</f>
        <v>0</v>
      </c>
      <c r="K77" s="1188"/>
      <c r="L77" s="972" t="str">
        <f>IF(AND(P59&gt;0,$P$427&gt;0),"The worker has motor loss impairment. No additional impairment value is allowed for reduced range of motion in the same extremity.","")</f>
        <v/>
      </c>
      <c r="M77" s="973"/>
      <c r="N77" s="973"/>
      <c r="O77" s="974"/>
      <c r="P77" s="1010"/>
      <c r="Q77" s="2"/>
      <c r="R77" s="10"/>
      <c r="S77" s="147">
        <f>IF(J77&gt;0,J77,E77)</f>
        <v>0</v>
      </c>
      <c r="T77" s="147">
        <f>LARGE($S$73:$S$80,5)</f>
        <v>0</v>
      </c>
      <c r="U77" s="553">
        <f t="shared" si="3"/>
        <v>0</v>
      </c>
      <c r="V77" s="557">
        <f t="shared" si="2"/>
        <v>0</v>
      </c>
      <c r="W77" s="21">
        <f t="shared" si="4"/>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3">
      <c r="A78" s="2"/>
      <c r="B78" s="806" t="s">
        <v>1712</v>
      </c>
      <c r="C78" s="806"/>
      <c r="D78" s="806"/>
      <c r="E78" s="770">
        <f>P68</f>
        <v>0</v>
      </c>
      <c r="F78" s="746"/>
      <c r="G78" s="940" t="s">
        <v>1941</v>
      </c>
      <c r="H78" s="941"/>
      <c r="I78" s="942"/>
      <c r="J78" s="925"/>
      <c r="K78" s="925"/>
      <c r="L78" s="972"/>
      <c r="M78" s="973"/>
      <c r="N78" s="973"/>
      <c r="O78" s="974"/>
      <c r="P78" s="1010"/>
      <c r="Q78" s="2"/>
      <c r="R78" s="10"/>
      <c r="S78" s="557">
        <f>E78</f>
        <v>0</v>
      </c>
      <c r="T78" s="147">
        <f>LARGE($S$73:$S$80,6)</f>
        <v>0</v>
      </c>
      <c r="U78" s="553">
        <f t="shared" si="3"/>
        <v>0</v>
      </c>
      <c r="V78" s="557">
        <f t="shared" si="2"/>
        <v>0</v>
      </c>
      <c r="W78" s="10"/>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3">
      <c r="A79" s="2"/>
      <c r="B79" s="806" t="s">
        <v>1713</v>
      </c>
      <c r="C79" s="806"/>
      <c r="D79" s="806"/>
      <c r="E79" s="770">
        <f>P69</f>
        <v>0</v>
      </c>
      <c r="F79" s="770"/>
      <c r="G79" s="940" t="s">
        <v>1941</v>
      </c>
      <c r="H79" s="941"/>
      <c r="I79" s="942"/>
      <c r="J79" s="925"/>
      <c r="K79" s="925"/>
      <c r="L79" s="972"/>
      <c r="M79" s="973"/>
      <c r="N79" s="973"/>
      <c r="O79" s="974"/>
      <c r="P79" s="1010"/>
      <c r="Q79" s="2"/>
      <c r="R79" s="10"/>
      <c r="S79" s="557">
        <f>E79</f>
        <v>0</v>
      </c>
      <c r="T79" s="147">
        <f>LARGE($S$73:$S$80,7)</f>
        <v>0</v>
      </c>
      <c r="U79" s="553">
        <f t="shared" si="3"/>
        <v>0</v>
      </c>
      <c r="V79" s="557">
        <f t="shared" si="2"/>
        <v>0</v>
      </c>
      <c r="W79" s="10"/>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3">
      <c r="A80" s="2"/>
      <c r="B80" s="804" t="s">
        <v>1128</v>
      </c>
      <c r="C80" s="804"/>
      <c r="D80" s="804"/>
      <c r="E80" s="1015">
        <f>P70</f>
        <v>0</v>
      </c>
      <c r="F80" s="1015"/>
      <c r="G80" s="1166" t="s">
        <v>1941</v>
      </c>
      <c r="H80" s="1161"/>
      <c r="I80" s="1167"/>
      <c r="J80" s="845"/>
      <c r="K80" s="845"/>
      <c r="L80" s="972"/>
      <c r="M80" s="973"/>
      <c r="N80" s="973"/>
      <c r="O80" s="974"/>
      <c r="P80" s="1010"/>
      <c r="Q80" s="2"/>
      <c r="R80" s="10"/>
      <c r="S80" s="557">
        <f>E80</f>
        <v>0</v>
      </c>
      <c r="T80" s="147">
        <f>LARGE($S$73:$S$80,8)</f>
        <v>0</v>
      </c>
      <c r="U80" s="96"/>
      <c r="V80" s="129"/>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3">
      <c r="A81" s="2"/>
      <c r="B81" s="958" t="s">
        <v>1437</v>
      </c>
      <c r="C81" s="958"/>
      <c r="D81" s="958"/>
      <c r="E81" s="958"/>
      <c r="F81" s="958"/>
      <c r="G81" s="958"/>
      <c r="H81" s="958"/>
      <c r="I81" s="958"/>
      <c r="J81" s="958"/>
      <c r="K81" s="958"/>
      <c r="L81" s="958"/>
      <c r="M81" s="958"/>
      <c r="N81" s="958"/>
      <c r="O81" s="958"/>
      <c r="P81" s="996"/>
      <c r="Q81" s="2"/>
      <c r="R81" s="10"/>
      <c r="S81" s="14"/>
      <c r="T81" s="96"/>
      <c r="U81" s="129"/>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3">
      <c r="A82" s="2"/>
      <c r="B82" s="1211"/>
      <c r="C82" s="1211"/>
      <c r="D82" s="1211"/>
      <c r="E82" s="1211"/>
      <c r="F82" s="1211"/>
      <c r="G82" s="1211"/>
      <c r="H82" s="1211"/>
      <c r="I82" s="1211"/>
      <c r="J82" s="1211"/>
      <c r="K82" s="1211"/>
      <c r="L82" s="1211"/>
      <c r="M82" s="1211"/>
      <c r="N82" s="1211"/>
      <c r="O82" s="1211"/>
      <c r="P82" s="1211"/>
      <c r="Q82" s="2"/>
      <c r="R82" s="10"/>
      <c r="S82" s="14"/>
      <c r="T82" s="96"/>
      <c r="U82" s="129"/>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3">
      <c r="A83" s="2"/>
      <c r="B83" s="792"/>
      <c r="C83" s="792"/>
      <c r="D83" s="792"/>
      <c r="E83" s="792"/>
      <c r="F83" s="792"/>
      <c r="G83" s="792"/>
      <c r="H83" s="792"/>
      <c r="I83" s="792"/>
      <c r="J83" s="792"/>
      <c r="K83" s="792"/>
      <c r="L83" s="792"/>
      <c r="M83" s="792"/>
      <c r="N83" s="792"/>
      <c r="O83" s="792"/>
      <c r="P83" s="792"/>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3">
      <c r="A84" s="2"/>
      <c r="B84" s="947" t="s">
        <v>1438</v>
      </c>
      <c r="C84" s="878"/>
      <c r="D84" s="878"/>
      <c r="E84" s="878"/>
      <c r="F84" s="878"/>
      <c r="G84" s="878"/>
      <c r="H84" s="878"/>
      <c r="I84" s="878"/>
      <c r="J84" s="878"/>
      <c r="K84" s="878"/>
      <c r="L84" s="878"/>
      <c r="M84" s="878"/>
      <c r="N84" s="878"/>
      <c r="O84" s="878"/>
      <c r="P84" s="878"/>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3">
      <c r="A85" s="2"/>
      <c r="B85" s="925" t="s">
        <v>1716</v>
      </c>
      <c r="C85" s="925"/>
      <c r="D85" s="925"/>
      <c r="E85" s="925"/>
      <c r="F85" s="925"/>
      <c r="G85" s="925"/>
      <c r="H85" s="925"/>
      <c r="I85" s="925"/>
      <c r="J85" s="925"/>
      <c r="K85" s="925"/>
      <c r="L85" s="925"/>
      <c r="M85" s="925"/>
      <c r="N85" s="925"/>
      <c r="O85" s="925"/>
      <c r="P85" s="925"/>
      <c r="Q85" s="2"/>
      <c r="R85" s="10"/>
      <c r="S85" s="10"/>
      <c r="T85" s="77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3">
      <c r="A86" s="2"/>
      <c r="B86" s="1014"/>
      <c r="C86" s="1014"/>
      <c r="D86" s="1014"/>
      <c r="E86" s="1014"/>
      <c r="F86" s="1014"/>
      <c r="G86" s="1014"/>
      <c r="H86" s="1014"/>
      <c r="I86" s="1014"/>
      <c r="J86" s="1014"/>
      <c r="K86" s="1014"/>
      <c r="L86" s="1014"/>
      <c r="M86" s="1014"/>
      <c r="N86" s="1014"/>
      <c r="O86" s="1014"/>
      <c r="P86" s="21">
        <f>SUMIF(U85:AO85,B86,U86:AO86)</f>
        <v>0</v>
      </c>
      <c r="Q86" s="2"/>
      <c r="R86" s="10"/>
      <c r="S86" s="10"/>
      <c r="T86" s="77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35">
      <c r="A87" s="2"/>
      <c r="B87" s="1244"/>
      <c r="C87" s="1244"/>
      <c r="D87" s="1244"/>
      <c r="E87" s="1244"/>
      <c r="F87" s="1244"/>
      <c r="G87" s="1244"/>
      <c r="H87" s="1244"/>
      <c r="I87" s="1244"/>
      <c r="J87" s="1244"/>
      <c r="K87" s="1244"/>
      <c r="L87" s="1244"/>
      <c r="M87" s="1244"/>
      <c r="N87" s="1244"/>
      <c r="O87" s="1244"/>
      <c r="P87" s="1244"/>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3">
      <c r="A88" s="2"/>
      <c r="B88" s="940" t="s">
        <v>772</v>
      </c>
      <c r="C88" s="941"/>
      <c r="D88" s="941"/>
      <c r="E88" s="941"/>
      <c r="F88" s="941"/>
      <c r="G88" s="941"/>
      <c r="H88" s="941"/>
      <c r="I88" s="941"/>
      <c r="J88" s="941"/>
      <c r="K88" s="941"/>
      <c r="L88" s="941"/>
      <c r="M88" s="941"/>
      <c r="N88" s="941"/>
      <c r="O88" s="941"/>
      <c r="P88" s="845"/>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3">
      <c r="A89" s="2"/>
      <c r="B89" s="285" t="s">
        <v>1545</v>
      </c>
      <c r="C89" s="1277"/>
      <c r="D89" s="1278"/>
      <c r="E89" s="1278"/>
      <c r="F89" s="1278"/>
      <c r="G89" s="1278"/>
      <c r="H89" s="1278"/>
      <c r="I89" s="1278"/>
      <c r="J89" s="1278"/>
      <c r="K89" s="1278"/>
      <c r="L89" s="1272"/>
      <c r="M89" s="1273"/>
      <c r="N89" s="1274"/>
      <c r="O89" s="67">
        <f>IF(C89=T89,0.45,IF(C89=U89,0.3,IF(C89=V89,0.45,0)))</f>
        <v>0</v>
      </c>
      <c r="P89" s="846"/>
      <c r="Q89" s="2"/>
      <c r="R89" s="947"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3">
      <c r="A90" s="2"/>
      <c r="B90" s="277" t="s">
        <v>190</v>
      </c>
      <c r="C90" s="1260"/>
      <c r="D90" s="1269"/>
      <c r="E90" s="1269"/>
      <c r="F90" s="1269"/>
      <c r="G90" s="1269"/>
      <c r="H90" s="1269"/>
      <c r="I90" s="1269"/>
      <c r="J90" s="1269"/>
      <c r="K90" s="1269"/>
      <c r="L90" s="1019"/>
      <c r="M90" s="1020"/>
      <c r="N90" s="1021"/>
      <c r="O90" s="64">
        <f>IF(C90=T90,0.8,IF(C90=U90,0.45,IF(C90=V90,0.8,0)))</f>
        <v>0</v>
      </c>
      <c r="P90" s="846"/>
      <c r="Q90" s="2"/>
      <c r="R90" s="947"/>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3">
      <c r="A91" s="2"/>
      <c r="B91" s="1276"/>
      <c r="C91" s="1211"/>
      <c r="D91" s="1211"/>
      <c r="E91" s="1211"/>
      <c r="F91" s="1211"/>
      <c r="G91" s="1211"/>
      <c r="H91" s="1211"/>
      <c r="I91" s="1211"/>
      <c r="J91" s="1211"/>
      <c r="K91" s="1211"/>
      <c r="L91" s="1211"/>
      <c r="M91" s="1211"/>
      <c r="N91" s="1211"/>
      <c r="O91" s="1211"/>
      <c r="P91" s="846"/>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3">
      <c r="A92" s="2"/>
      <c r="B92" s="201"/>
      <c r="C92" s="925" t="s">
        <v>1595</v>
      </c>
      <c r="D92" s="925"/>
      <c r="E92" s="925"/>
      <c r="F92" s="925"/>
      <c r="G92" s="1156" t="s">
        <v>1081</v>
      </c>
      <c r="H92" s="1156"/>
      <c r="I92" s="1156"/>
      <c r="J92" s="1156"/>
      <c r="K92" s="1156"/>
      <c r="L92" s="792"/>
      <c r="M92" s="792"/>
      <c r="N92" s="792"/>
      <c r="O92" s="792"/>
      <c r="P92" s="846"/>
      <c r="Q92" s="2"/>
      <c r="R92" s="58"/>
      <c r="S92" s="58"/>
      <c r="T92" s="927" t="s">
        <v>1257</v>
      </c>
      <c r="U92" s="927"/>
      <c r="V92" s="10"/>
      <c r="W92" s="10"/>
      <c r="X92" s="10"/>
      <c r="Y92" s="922" t="s">
        <v>2259</v>
      </c>
      <c r="Z92" s="926"/>
      <c r="AA92" s="923"/>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3">
      <c r="A93" s="2"/>
      <c r="B93" s="280" t="s">
        <v>1840</v>
      </c>
      <c r="C93" s="925" t="s">
        <v>365</v>
      </c>
      <c r="D93" s="925"/>
      <c r="E93" s="925" t="s">
        <v>1795</v>
      </c>
      <c r="F93" s="925"/>
      <c r="G93" s="925" t="s">
        <v>365</v>
      </c>
      <c r="H93" s="925"/>
      <c r="I93" s="925"/>
      <c r="J93" s="925" t="s">
        <v>1795</v>
      </c>
      <c r="K93" s="925"/>
      <c r="L93" s="1046"/>
      <c r="M93" s="1046"/>
      <c r="N93" s="1046"/>
      <c r="O93" s="1019"/>
      <c r="P93" s="846"/>
      <c r="Q93" s="2"/>
      <c r="S93" s="50" t="s">
        <v>1572</v>
      </c>
      <c r="T93" s="39" t="s">
        <v>1595</v>
      </c>
      <c r="U93" s="39" t="s">
        <v>1596</v>
      </c>
      <c r="V93" s="925" t="s">
        <v>1083</v>
      </c>
      <c r="W93" s="925"/>
      <c r="X93" s="2"/>
      <c r="Y93" s="18">
        <f>IF(OR(O89&gt;0,O90&gt;0,E95&gt;0,E97&gt;0),1,0)</f>
        <v>0</v>
      </c>
      <c r="Z93" s="641">
        <f>IF(AND(OR(O89&gt;0,O90&gt;0),OR(E94&gt;0,E96&gt;0),C99&gt;0),C99*O98,O98)</f>
        <v>0</v>
      </c>
      <c r="AA93" s="639">
        <f>IF(AND(Y93=0,C99&gt;0),C99*AB98,AB98)</f>
        <v>0</v>
      </c>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3">
      <c r="A94" s="2"/>
      <c r="B94" s="297" t="s">
        <v>1334</v>
      </c>
      <c r="C94" s="1260"/>
      <c r="D94" s="1261"/>
      <c r="E94" s="1202">
        <f>LETable!AJ18</f>
        <v>0</v>
      </c>
      <c r="F94" s="1202"/>
      <c r="G94" s="708"/>
      <c r="H94" s="708"/>
      <c r="I94" s="708"/>
      <c r="J94" s="1206">
        <f>IF(C94="",0,IF(OR(C94&lt;=0,G94&lt;=0),E94,IF(G94&lt;C94,0,LETable!AO18)))</f>
        <v>0</v>
      </c>
      <c r="K94" s="1206"/>
      <c r="L94" s="1256" t="str">
        <f>IF(OR(C94="NA",G94="NA"),"",IF(AND(C94&lt;&gt;"",G94=""),"Enter contralateral or NA.",IF(AND(C94="",G94&lt;&gt;""),"Need data","")))</f>
        <v/>
      </c>
      <c r="M94" s="1256"/>
      <c r="N94" s="1256"/>
      <c r="O94" s="1257"/>
      <c r="P94" s="846"/>
      <c r="Q94" s="2"/>
      <c r="R94" s="10"/>
      <c r="S94" s="50">
        <v>40</v>
      </c>
      <c r="T94" s="50" t="str">
        <f>IF(OR(C94="",C94="NA"),"",IF(C94&gt;S94,S94,IF(C94&lt;0,0,C94)))</f>
        <v/>
      </c>
      <c r="U94" s="50" t="str">
        <f>IF(OR(G94="",G94="NA"),"",IF(G94&gt;S94,S94,IF(G94&lt;0,0,G94)))</f>
        <v/>
      </c>
      <c r="V94" s="562" t="str">
        <f>IF(W94="","",ROUND(W94,0))</f>
        <v/>
      </c>
      <c r="W94" s="563"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3">
      <c r="A95" s="2"/>
      <c r="B95" s="297" t="s">
        <v>1335</v>
      </c>
      <c r="C95" s="1260"/>
      <c r="D95" s="1261"/>
      <c r="E95" s="1202">
        <f>IF(AND(C95&lt;&gt;"",C95&lt;&gt;"NA",C94&lt;&gt;"NA",C94&lt;&gt;""),"ERROR",IF(AND(C95&lt;&gt;"",C95&lt;&gt;"NA",C96&lt;&gt;"",C96&lt;&gt;"NA"),"ERROR",LETable!AJ19))</f>
        <v>0</v>
      </c>
      <c r="F95" s="1202"/>
      <c r="G95" s="946" t="str">
        <f>IF(E95="ERROR","Error: Cannot rate ROM and ankylosis.","")</f>
        <v/>
      </c>
      <c r="H95" s="946"/>
      <c r="I95" s="946"/>
      <c r="J95" s="946"/>
      <c r="K95" s="946"/>
      <c r="L95" s="946"/>
      <c r="M95" s="946"/>
      <c r="N95" s="946"/>
      <c r="O95" s="1073"/>
      <c r="P95" s="846"/>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3">
      <c r="A96" s="2"/>
      <c r="B96" s="128" t="s">
        <v>1255</v>
      </c>
      <c r="C96" s="1260"/>
      <c r="D96" s="1261"/>
      <c r="E96" s="1202">
        <f>LETable!AJ20</f>
        <v>0</v>
      </c>
      <c r="F96" s="1202"/>
      <c r="G96" s="708"/>
      <c r="H96" s="708"/>
      <c r="I96" s="708"/>
      <c r="J96" s="1206">
        <f>IF(C96="",0,IF(OR(C96&lt;=0,G96&lt;=0),E96,IF(G96&lt;C96,0,LETable!AO20)))</f>
        <v>0</v>
      </c>
      <c r="K96" s="1206"/>
      <c r="L96" s="1256" t="str">
        <f>IF(OR(C96="NA",G96="NA"),"",IF(AND(C96&lt;&gt;"",G96=""),"Enter contralateral or NA.",IF(AND(C96="",G96&lt;&gt;""),"Need data","")))</f>
        <v/>
      </c>
      <c r="M96" s="1256"/>
      <c r="N96" s="1256"/>
      <c r="O96" s="1257"/>
      <c r="P96" s="846"/>
      <c r="Q96" s="2"/>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3">
      <c r="A97" s="2"/>
      <c r="B97" s="296" t="s">
        <v>1839</v>
      </c>
      <c r="C97" s="1260"/>
      <c r="D97" s="1261"/>
      <c r="E97" s="1202">
        <f>IF(AND(C97&lt;&gt;"",C97&lt;&gt;"NA",C96&lt;&gt;"NA",C96&lt;&gt;""),"ERROR",IF(AND(C97&lt;&gt;"",C97&lt;&gt;"NA",C94&lt;&gt;"",C94&lt;&gt;"NA"),"ERROR",LETable!AJ21))</f>
        <v>0</v>
      </c>
      <c r="F97" s="1202"/>
      <c r="G97" s="1203" t="str">
        <f>IF(E97="ERROR","Error: Cannot rate ROM and ankylosis.",IF(AND(C95&lt;&gt;"",C95&lt;&gt;"NA",C97&lt;&gt;"",C97&lt;&gt;"NA"),"Multiple ankylosis values; use higher value only.",""))</f>
        <v/>
      </c>
      <c r="H97" s="1204"/>
      <c r="I97" s="1204"/>
      <c r="J97" s="1204"/>
      <c r="K97" s="1204"/>
      <c r="L97" s="1204"/>
      <c r="M97" s="1204"/>
      <c r="N97" s="1204"/>
      <c r="O97" s="1205"/>
      <c r="P97" s="846"/>
      <c r="Q97" s="2"/>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3">
      <c r="A98" s="2"/>
      <c r="B98" s="636"/>
      <c r="C98" s="637"/>
      <c r="D98" s="637"/>
      <c r="E98" s="998" t="str">
        <f>IF(AND(OR(O89&gt;0,O90&gt;0,E95&gt;0,E97&gt;0),C99&gt;0),"Note: Ankylosis impairment is not apportioned.","")</f>
        <v/>
      </c>
      <c r="F98" s="999"/>
      <c r="G98" s="999"/>
      <c r="H98" s="999"/>
      <c r="I98" s="999"/>
      <c r="J98" s="1000"/>
      <c r="K98" s="1099" t="s">
        <v>1841</v>
      </c>
      <c r="L98" s="1100"/>
      <c r="M98" s="1100"/>
      <c r="N98" s="1101"/>
      <c r="O98" s="59">
        <f>IF(OR(E95="ERROR",E97="ERROR"),"ERROR",IF(R98&gt;1,1,R98))</f>
        <v>0</v>
      </c>
      <c r="P98" s="847"/>
      <c r="Q98" s="2"/>
      <c r="R98" s="642">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3">
      <c r="A99" s="2"/>
      <c r="B99" s="13" t="s">
        <v>2255</v>
      </c>
      <c r="C99" s="935"/>
      <c r="D99" s="960"/>
      <c r="E99" s="975"/>
      <c r="F99" s="976"/>
      <c r="G99" s="976"/>
      <c r="H99" s="976"/>
      <c r="I99" s="976"/>
      <c r="J99" s="977"/>
      <c r="K99" s="1099" t="s">
        <v>434</v>
      </c>
      <c r="L99" s="1100"/>
      <c r="M99" s="1100"/>
      <c r="N99" s="1100"/>
      <c r="O99" s="1101"/>
      <c r="P99" s="248">
        <f>IF(O98="ERROR","ERROR",IF(AND(AA93&gt;0,AA93&lt;0.01),0.01,ROUND(AA93,2)))</f>
        <v>0</v>
      </c>
      <c r="Q99" s="2"/>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3">
      <c r="A100" s="2"/>
      <c r="B100" s="1211"/>
      <c r="C100" s="1211"/>
      <c r="D100" s="1211"/>
      <c r="E100" s="1211"/>
      <c r="F100" s="1211"/>
      <c r="G100" s="1211"/>
      <c r="H100" s="1211"/>
      <c r="I100" s="1211"/>
      <c r="J100" s="1211"/>
      <c r="K100" s="1211"/>
      <c r="L100" s="1211"/>
      <c r="M100" s="1211"/>
      <c r="N100" s="1211"/>
      <c r="O100" s="1211"/>
      <c r="P100" s="384"/>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3">
      <c r="A101" s="2"/>
      <c r="B101" s="940" t="s">
        <v>2001</v>
      </c>
      <c r="C101" s="941"/>
      <c r="D101" s="941"/>
      <c r="E101" s="941"/>
      <c r="F101" s="941"/>
      <c r="G101" s="941"/>
      <c r="H101" s="941"/>
      <c r="I101" s="941"/>
      <c r="J101" s="941"/>
      <c r="K101" s="941"/>
      <c r="L101" s="941"/>
      <c r="M101" s="941"/>
      <c r="N101" s="941"/>
      <c r="O101" s="941"/>
      <c r="P101" s="385"/>
      <c r="Q101" s="2"/>
      <c r="R101" s="10"/>
      <c r="S101" s="878" t="s">
        <v>2186</v>
      </c>
      <c r="T101" s="878"/>
      <c r="U101" s="878"/>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3">
      <c r="A102" s="2"/>
      <c r="B102" s="308" t="s">
        <v>2011</v>
      </c>
      <c r="C102" s="933"/>
      <c r="D102" s="933"/>
      <c r="E102" s="933"/>
      <c r="F102" s="933"/>
      <c r="G102" s="933"/>
      <c r="H102" s="933"/>
      <c r="I102" s="933"/>
      <c r="J102" s="933"/>
      <c r="K102" s="933"/>
      <c r="L102" s="933"/>
      <c r="M102" s="933"/>
      <c r="N102" s="933"/>
      <c r="O102" s="68"/>
      <c r="P102" s="21">
        <f>IF($W$239&gt;0,0,R102)</f>
        <v>0</v>
      </c>
      <c r="Q102" s="2"/>
      <c r="R102" s="147">
        <f>IF(C102=S102,0,IF(C102=T102,0.05,IF(C102=U102,0.1,0)))</f>
        <v>0</v>
      </c>
      <c r="S102" s="50" t="s">
        <v>1941</v>
      </c>
      <c r="T102" s="50" t="s">
        <v>1784</v>
      </c>
      <c r="U102" s="50" t="s">
        <v>1785</v>
      </c>
      <c r="V102" s="97"/>
      <c r="W102" s="96"/>
      <c r="X102" s="133"/>
      <c r="Y102" s="126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3">
      <c r="A103" s="2"/>
      <c r="B103" s="308" t="s">
        <v>2012</v>
      </c>
      <c r="C103" s="933"/>
      <c r="D103" s="933"/>
      <c r="E103" s="933"/>
      <c r="F103" s="933"/>
      <c r="G103" s="933"/>
      <c r="H103" s="933"/>
      <c r="I103" s="933"/>
      <c r="J103" s="933"/>
      <c r="K103" s="933"/>
      <c r="L103" s="933"/>
      <c r="M103" s="933"/>
      <c r="N103" s="933"/>
      <c r="O103" s="69"/>
      <c r="P103" s="21">
        <f>IF($W$239&gt;0,0,R103)</f>
        <v>0</v>
      </c>
      <c r="Q103" s="2"/>
      <c r="R103" s="147">
        <f>IF(C103=S103,0,IF(C103=T103,0.05,IF(C103=U103,0.1,0)))</f>
        <v>0</v>
      </c>
      <c r="S103" s="50" t="s">
        <v>1941</v>
      </c>
      <c r="T103" s="50" t="s">
        <v>1996</v>
      </c>
      <c r="U103" s="50" t="s">
        <v>1997</v>
      </c>
      <c r="V103" s="97"/>
      <c r="W103" s="96"/>
      <c r="X103" s="133"/>
      <c r="Y103" s="126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3">
      <c r="A104" s="2"/>
      <c r="B104" s="1056" t="str">
        <f>IF(AND(OR(R102&gt;0,R103&gt;0),$W$239&gt;0),"A value has been given for loss of sensation or hypersensitivity in the foot. No additional value is allowed for the toes.","")</f>
        <v/>
      </c>
      <c r="C104" s="1056"/>
      <c r="D104" s="1056"/>
      <c r="E104" s="1056"/>
      <c r="F104" s="1056"/>
      <c r="G104" s="1056"/>
      <c r="H104" s="1056"/>
      <c r="I104" s="1056"/>
      <c r="J104" s="1056"/>
      <c r="K104" s="1056"/>
      <c r="L104" s="1056"/>
      <c r="M104" s="1056"/>
      <c r="N104" s="1056"/>
      <c r="O104" s="1056"/>
      <c r="P104" s="529"/>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3">
      <c r="A105" s="2"/>
      <c r="B105" s="712"/>
      <c r="C105" s="792"/>
      <c r="D105" s="792"/>
      <c r="E105" s="792"/>
      <c r="F105" s="792"/>
      <c r="G105" s="792"/>
      <c r="H105" s="792"/>
      <c r="I105" s="792"/>
      <c r="J105" s="792"/>
      <c r="K105" s="792"/>
      <c r="L105" s="792"/>
      <c r="M105" s="792"/>
      <c r="N105" s="792"/>
      <c r="O105" s="792"/>
      <c r="P105" s="63"/>
      <c r="Q105" s="2"/>
      <c r="R105" s="10"/>
      <c r="S105" s="10"/>
      <c r="Y105" s="10"/>
      <c r="Z105" s="739"/>
      <c r="AA105" s="739"/>
      <c r="AB105" s="739"/>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3">
      <c r="A106" s="2"/>
      <c r="B106" s="776" t="s">
        <v>2015</v>
      </c>
      <c r="C106" s="776"/>
      <c r="D106" s="776"/>
      <c r="E106" s="776"/>
      <c r="F106" s="776"/>
      <c r="G106" s="776"/>
      <c r="H106" s="776"/>
      <c r="I106" s="776"/>
      <c r="J106" s="776"/>
      <c r="K106" s="776"/>
      <c r="L106" s="776"/>
      <c r="M106" s="776"/>
      <c r="N106" s="708"/>
      <c r="O106" s="708"/>
      <c r="P106" s="21">
        <f>IF(N106=T106,0.03,IF(N106=U106,0.15,IF(N106=V106,0.38,IF(N106=W106,0.68,IF(N106=X106,0.9,0)))))</f>
        <v>0</v>
      </c>
      <c r="Q106" s="2"/>
      <c r="R106" s="878" t="s">
        <v>2196</v>
      </c>
      <c r="S106" s="878"/>
      <c r="T106" s="50" t="s">
        <v>1968</v>
      </c>
      <c r="U106" s="50" t="s">
        <v>1969</v>
      </c>
      <c r="V106" s="147" t="s">
        <v>1971</v>
      </c>
      <c r="W106" s="50" t="s">
        <v>945</v>
      </c>
      <c r="X106" s="147" t="s">
        <v>558</v>
      </c>
      <c r="Y106" s="10"/>
      <c r="Z106" s="739"/>
      <c r="AA106" s="739"/>
      <c r="AB106" s="739"/>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3">
      <c r="A107" s="2"/>
      <c r="B107" s="527"/>
      <c r="C107" s="527"/>
      <c r="D107" s="527"/>
      <c r="E107" s="527"/>
      <c r="F107" s="527"/>
      <c r="G107" s="527"/>
      <c r="H107" s="527"/>
      <c r="I107" s="527"/>
      <c r="J107" s="527"/>
      <c r="K107" s="527"/>
      <c r="L107" s="527"/>
      <c r="M107" s="527"/>
      <c r="N107" s="527"/>
      <c r="O107" s="527"/>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3">
      <c r="A108" s="15"/>
      <c r="B108" s="259" t="s">
        <v>1708</v>
      </c>
      <c r="C108" s="1213"/>
      <c r="D108" s="1213"/>
      <c r="E108" s="757" t="s">
        <v>1709</v>
      </c>
      <c r="F108" s="758"/>
      <c r="G108" s="758"/>
      <c r="H108" s="758"/>
      <c r="I108" s="758"/>
      <c r="J108" s="758"/>
      <c r="K108" s="758"/>
      <c r="L108" s="758"/>
      <c r="M108" s="758"/>
      <c r="N108" s="758"/>
      <c r="O108" s="758"/>
      <c r="P108" s="248">
        <f>IF(T108=1,0.15,0)</f>
        <v>0</v>
      </c>
      <c r="Q108" s="2"/>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3">
      <c r="A109" s="2"/>
      <c r="B109" s="259" t="s">
        <v>1710</v>
      </c>
      <c r="C109" s="1213"/>
      <c r="D109" s="1213"/>
      <c r="E109" s="757" t="s">
        <v>1711</v>
      </c>
      <c r="F109" s="758"/>
      <c r="G109" s="758"/>
      <c r="H109" s="758"/>
      <c r="I109" s="758"/>
      <c r="J109" s="758"/>
      <c r="K109" s="758"/>
      <c r="L109" s="758"/>
      <c r="M109" s="758"/>
      <c r="N109" s="758"/>
      <c r="O109" s="758"/>
      <c r="P109" s="248">
        <f>IF(T109=1,0.25,0)</f>
        <v>0</v>
      </c>
      <c r="Q109" s="2"/>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3">
      <c r="A110" s="2"/>
      <c r="B110" s="386" t="s">
        <v>626</v>
      </c>
      <c r="C110" s="1025"/>
      <c r="D110" s="1025"/>
      <c r="E110" s="937" t="s">
        <v>627</v>
      </c>
      <c r="F110" s="938"/>
      <c r="G110" s="938"/>
      <c r="H110" s="938"/>
      <c r="I110" s="938"/>
      <c r="J110" s="938"/>
      <c r="K110" s="938"/>
      <c r="L110" s="938"/>
      <c r="M110" s="938"/>
      <c r="N110" s="938"/>
      <c r="O110" s="938"/>
      <c r="P110" s="278">
        <f>IF(T110=1,0.25,0)</f>
        <v>0</v>
      </c>
      <c r="Q110" s="2"/>
      <c r="R110" s="10"/>
      <c r="S110" s="570"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35">
      <c r="A111" s="2"/>
      <c r="B111" s="1212"/>
      <c r="C111" s="1212"/>
      <c r="D111" s="1212"/>
      <c r="E111" s="1212"/>
      <c r="F111" s="1212"/>
      <c r="G111" s="1212"/>
      <c r="H111" s="1212"/>
      <c r="I111" s="1212"/>
      <c r="J111" s="1212"/>
      <c r="K111" s="1212"/>
      <c r="L111" s="1212"/>
      <c r="M111" s="1212"/>
      <c r="N111" s="1212"/>
      <c r="O111" s="1212"/>
      <c r="P111" s="2"/>
      <c r="Q111" s="2"/>
      <c r="R111" s="10"/>
      <c r="S111" s="200"/>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3">
      <c r="A112" s="2"/>
      <c r="B112" s="879" t="s">
        <v>440</v>
      </c>
      <c r="C112" s="880"/>
      <c r="D112" s="880"/>
      <c r="E112" s="880"/>
      <c r="F112" s="880"/>
      <c r="G112" s="927" t="s">
        <v>1524</v>
      </c>
      <c r="H112" s="925"/>
      <c r="I112" s="925"/>
      <c r="J112" s="925"/>
      <c r="K112" s="925"/>
      <c r="L112" s="1215"/>
      <c r="M112" s="1216"/>
      <c r="N112" s="1216"/>
      <c r="O112" s="1217"/>
      <c r="P112" s="872">
        <f>IF(J121&gt;0,J121,V119)</f>
        <v>0</v>
      </c>
      <c r="Q112" s="2"/>
      <c r="R112" s="10"/>
      <c r="S112" s="50" t="s">
        <v>1864</v>
      </c>
      <c r="T112" s="50" t="s">
        <v>1304</v>
      </c>
      <c r="U112" s="50" t="s">
        <v>1305</v>
      </c>
      <c r="V112" s="50" t="s">
        <v>1306</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3">
      <c r="A113" s="2"/>
      <c r="B113" s="791" t="s">
        <v>628</v>
      </c>
      <c r="C113" s="791"/>
      <c r="D113" s="791"/>
      <c r="E113" s="996">
        <f>P86</f>
        <v>0</v>
      </c>
      <c r="F113" s="877"/>
      <c r="G113" s="925" t="s">
        <v>1941</v>
      </c>
      <c r="H113" s="925"/>
      <c r="I113" s="925"/>
      <c r="J113" s="1214"/>
      <c r="K113" s="1214"/>
      <c r="L113" s="1215"/>
      <c r="M113" s="1216"/>
      <c r="N113" s="1216"/>
      <c r="O113" s="1217"/>
      <c r="P113" s="1010"/>
      <c r="Q113" s="2"/>
      <c r="R113" s="10"/>
      <c r="S113" s="557">
        <f>E113</f>
        <v>0</v>
      </c>
      <c r="T113" s="147">
        <f>LARGE($S$113:$S$120,1)</f>
        <v>0</v>
      </c>
      <c r="U113" s="553">
        <f>T113+T114*(1-T113)</f>
        <v>0</v>
      </c>
      <c r="V113" s="557">
        <f t="shared" ref="V113:V119" si="5">ROUND(U113,2)</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3">
      <c r="A114" s="2"/>
      <c r="B114" s="806" t="s">
        <v>1958</v>
      </c>
      <c r="C114" s="806"/>
      <c r="D114" s="806"/>
      <c r="E114" s="770">
        <f>IF(P427&gt;0,0,P99)</f>
        <v>0</v>
      </c>
      <c r="F114" s="746"/>
      <c r="G114" s="1115" t="s">
        <v>2256</v>
      </c>
      <c r="H114" s="1177"/>
      <c r="I114" s="1116"/>
      <c r="J114" s="925"/>
      <c r="K114" s="925"/>
      <c r="L114" s="1128"/>
      <c r="M114" s="1129"/>
      <c r="N114" s="1129"/>
      <c r="O114" s="1130"/>
      <c r="P114" s="1010"/>
      <c r="Q114" s="2"/>
      <c r="R114" s="10"/>
      <c r="S114" s="147">
        <f>IF(J114&gt;0,J114,E114)</f>
        <v>0</v>
      </c>
      <c r="T114" s="147">
        <f>LARGE($S$113:$S$120,2)</f>
        <v>0</v>
      </c>
      <c r="U114" s="553">
        <f t="shared" ref="U114:U119" si="6">V113+T115*(1-V113)</f>
        <v>0</v>
      </c>
      <c r="V114" s="557">
        <f t="shared" si="5"/>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3">
      <c r="A115" s="2"/>
      <c r="B115" s="806" t="s">
        <v>2016</v>
      </c>
      <c r="C115" s="806"/>
      <c r="D115" s="806"/>
      <c r="E115" s="770">
        <f>P102</f>
        <v>0</v>
      </c>
      <c r="F115" s="746"/>
      <c r="G115" s="1028"/>
      <c r="H115" s="1028"/>
      <c r="I115" s="1028"/>
      <c r="J115" s="1188">
        <f>IF(AND(W115&lt;0.01,W115&gt;0),0.01,ROUND(W115,2))</f>
        <v>0</v>
      </c>
      <c r="K115" s="1188"/>
      <c r="L115" s="633"/>
      <c r="M115" s="634"/>
      <c r="N115" s="634"/>
      <c r="O115" s="635"/>
      <c r="P115" s="1010"/>
      <c r="Q115" s="2"/>
      <c r="R115" s="10"/>
      <c r="S115" s="147">
        <f>IF(J115&gt;0,J115,E115)</f>
        <v>0</v>
      </c>
      <c r="T115" s="147">
        <f>LARGE($S$113:$S$120,3)</f>
        <v>0</v>
      </c>
      <c r="U115" s="553">
        <f t="shared" si="6"/>
        <v>0</v>
      </c>
      <c r="V115" s="557">
        <f t="shared" si="5"/>
        <v>0</v>
      </c>
      <c r="W115" s="603">
        <f>G115*E115</f>
        <v>0</v>
      </c>
      <c r="X115" s="410"/>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3">
      <c r="A116" s="2"/>
      <c r="B116" s="757" t="s">
        <v>1226</v>
      </c>
      <c r="C116" s="758"/>
      <c r="D116" s="759"/>
      <c r="E116" s="770">
        <f>P103</f>
        <v>0</v>
      </c>
      <c r="F116" s="746"/>
      <c r="G116" s="1028"/>
      <c r="H116" s="1028"/>
      <c r="I116" s="1028"/>
      <c r="J116" s="1188">
        <f>IF(AND(W116&lt;0.01,W116&gt;0),0.01,ROUND(W116,2))</f>
        <v>0</v>
      </c>
      <c r="K116" s="1188"/>
      <c r="L116" s="633"/>
      <c r="M116" s="634"/>
      <c r="N116" s="634"/>
      <c r="O116" s="635"/>
      <c r="P116" s="1010"/>
      <c r="Q116" s="2"/>
      <c r="R116" s="10"/>
      <c r="S116" s="147">
        <f>IF(J116&gt;0,J116,E116)</f>
        <v>0</v>
      </c>
      <c r="T116" s="147">
        <f>LARGE($S$113:$S$120,4)</f>
        <v>0</v>
      </c>
      <c r="U116" s="553">
        <f t="shared" si="6"/>
        <v>0</v>
      </c>
      <c r="V116" s="557">
        <f t="shared" si="5"/>
        <v>0</v>
      </c>
      <c r="W116" s="603">
        <f t="shared" ref="W116:W117" si="7">G116*E116</f>
        <v>0</v>
      </c>
      <c r="X116" s="410"/>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3">
      <c r="A117" s="2"/>
      <c r="B117" s="757" t="s">
        <v>1446</v>
      </c>
      <c r="C117" s="758"/>
      <c r="D117" s="759"/>
      <c r="E117" s="742">
        <f>P106</f>
        <v>0</v>
      </c>
      <c r="F117" s="744"/>
      <c r="G117" s="1028"/>
      <c r="H117" s="1028"/>
      <c r="I117" s="1028"/>
      <c r="J117" s="1188">
        <f>IF(AND(W117&lt;0.01,W117&gt;0),0.01,ROUND(W117,2))</f>
        <v>0</v>
      </c>
      <c r="K117" s="1188"/>
      <c r="L117" s="972" t="str">
        <f>IF(AND(P99&gt;0,$P$427&gt;0),"The worker has motor loss impairment. No additional impairment value is allowed for reduced range of motion in the same extremity.","")</f>
        <v/>
      </c>
      <c r="M117" s="973"/>
      <c r="N117" s="973"/>
      <c r="O117" s="974"/>
      <c r="P117" s="1010"/>
      <c r="Q117" s="2"/>
      <c r="R117" s="10"/>
      <c r="S117" s="147">
        <f>IF(J117&gt;0,J117,E117)</f>
        <v>0</v>
      </c>
      <c r="T117" s="147">
        <f>LARGE($S$113:$S$120,5)</f>
        <v>0</v>
      </c>
      <c r="U117" s="553">
        <f t="shared" si="6"/>
        <v>0</v>
      </c>
      <c r="V117" s="557">
        <f t="shared" si="5"/>
        <v>0</v>
      </c>
      <c r="W117" s="603">
        <f t="shared" si="7"/>
        <v>0</v>
      </c>
      <c r="X117" s="410"/>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3">
      <c r="A118" s="2"/>
      <c r="B118" s="806" t="s">
        <v>1712</v>
      </c>
      <c r="C118" s="806"/>
      <c r="D118" s="806"/>
      <c r="E118" s="770">
        <f>P108</f>
        <v>0</v>
      </c>
      <c r="F118" s="746"/>
      <c r="G118" s="925" t="s">
        <v>1941</v>
      </c>
      <c r="H118" s="925"/>
      <c r="I118" s="925"/>
      <c r="J118" s="925"/>
      <c r="K118" s="925"/>
      <c r="L118" s="972"/>
      <c r="M118" s="973"/>
      <c r="N118" s="973"/>
      <c r="O118" s="974"/>
      <c r="P118" s="1010"/>
      <c r="Q118" s="2"/>
      <c r="R118" s="10"/>
      <c r="S118" s="557">
        <f>E118</f>
        <v>0</v>
      </c>
      <c r="T118" s="147">
        <f>LARGE($S$113:$S$120,6)</f>
        <v>0</v>
      </c>
      <c r="U118" s="553">
        <f t="shared" si="6"/>
        <v>0</v>
      </c>
      <c r="V118" s="557">
        <f t="shared" si="5"/>
        <v>0</v>
      </c>
      <c r="W118" s="10"/>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3">
      <c r="A119" s="2"/>
      <c r="B119" s="757" t="s">
        <v>1713</v>
      </c>
      <c r="C119" s="758"/>
      <c r="D119" s="759"/>
      <c r="E119" s="742">
        <f>P109</f>
        <v>0</v>
      </c>
      <c r="F119" s="744"/>
      <c r="G119" s="925" t="s">
        <v>1941</v>
      </c>
      <c r="H119" s="925"/>
      <c r="I119" s="925"/>
      <c r="J119" s="925"/>
      <c r="K119" s="925"/>
      <c r="L119" s="972"/>
      <c r="M119" s="973"/>
      <c r="N119" s="973"/>
      <c r="O119" s="974"/>
      <c r="P119" s="1010"/>
      <c r="Q119" s="2"/>
      <c r="R119" s="10"/>
      <c r="S119" s="557">
        <f>E119</f>
        <v>0</v>
      </c>
      <c r="T119" s="147">
        <f>LARGE($S$113:$S$120,7)</f>
        <v>0</v>
      </c>
      <c r="U119" s="553">
        <f t="shared" si="6"/>
        <v>0</v>
      </c>
      <c r="V119" s="557">
        <f t="shared" si="5"/>
        <v>0</v>
      </c>
      <c r="W119" s="10"/>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3">
      <c r="A120" s="2"/>
      <c r="B120" s="804" t="s">
        <v>1128</v>
      </c>
      <c r="C120" s="804"/>
      <c r="D120" s="804"/>
      <c r="E120" s="1015">
        <f>P110</f>
        <v>0</v>
      </c>
      <c r="F120" s="1015"/>
      <c r="G120" s="845" t="s">
        <v>1941</v>
      </c>
      <c r="H120" s="845"/>
      <c r="I120" s="845"/>
      <c r="J120" s="845"/>
      <c r="K120" s="845"/>
      <c r="L120" s="972"/>
      <c r="M120" s="973"/>
      <c r="N120" s="973"/>
      <c r="O120" s="974"/>
      <c r="P120" s="1010"/>
      <c r="Q120" s="2"/>
      <c r="R120" s="10"/>
      <c r="S120" s="557">
        <f>E120</f>
        <v>0</v>
      </c>
      <c r="T120" s="147">
        <f>LARGE($S$113:$S$120,8)</f>
        <v>0</v>
      </c>
      <c r="U120" s="96"/>
      <c r="V120" s="129"/>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3">
      <c r="A121" s="2"/>
      <c r="B121" s="958" t="s">
        <v>439</v>
      </c>
      <c r="C121" s="958"/>
      <c r="D121" s="958"/>
      <c r="E121" s="958"/>
      <c r="F121" s="958"/>
      <c r="G121" s="958"/>
      <c r="H121" s="958"/>
      <c r="I121" s="958"/>
      <c r="J121" s="958"/>
      <c r="K121" s="958"/>
      <c r="L121" s="958"/>
      <c r="M121" s="958"/>
      <c r="N121" s="958"/>
      <c r="O121" s="958"/>
      <c r="P121" s="996"/>
      <c r="Q121" s="2"/>
      <c r="R121" s="10"/>
      <c r="S121" s="14"/>
      <c r="T121" s="96"/>
      <c r="U121" s="129"/>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3">
      <c r="A122" s="2"/>
      <c r="B122" s="792"/>
      <c r="C122" s="792"/>
      <c r="D122" s="792"/>
      <c r="E122" s="792"/>
      <c r="F122" s="792"/>
      <c r="G122" s="792"/>
      <c r="H122" s="792"/>
      <c r="I122" s="792"/>
      <c r="J122" s="792"/>
      <c r="K122" s="792"/>
      <c r="L122" s="792"/>
      <c r="M122" s="792"/>
      <c r="N122" s="792"/>
      <c r="O122" s="792"/>
      <c r="P122" s="792"/>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3">
      <c r="A123" s="2"/>
      <c r="B123" s="792"/>
      <c r="C123" s="792"/>
      <c r="D123" s="792"/>
      <c r="E123" s="792"/>
      <c r="F123" s="792"/>
      <c r="G123" s="792"/>
      <c r="H123" s="792"/>
      <c r="I123" s="792"/>
      <c r="J123" s="792"/>
      <c r="K123" s="792"/>
      <c r="L123" s="792"/>
      <c r="M123" s="792"/>
      <c r="N123" s="792"/>
      <c r="O123" s="792"/>
      <c r="P123" s="792"/>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3">
      <c r="A124" s="2"/>
      <c r="B124" s="947" t="s">
        <v>1267</v>
      </c>
      <c r="C124" s="878"/>
      <c r="D124" s="878"/>
      <c r="E124" s="878"/>
      <c r="F124" s="878"/>
      <c r="G124" s="878"/>
      <c r="H124" s="878"/>
      <c r="I124" s="878"/>
      <c r="J124" s="878"/>
      <c r="K124" s="878"/>
      <c r="L124" s="878"/>
      <c r="M124" s="878"/>
      <c r="N124" s="878"/>
      <c r="O124" s="878"/>
      <c r="P124" s="878"/>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3">
      <c r="A125" s="2"/>
      <c r="B125" s="925" t="s">
        <v>579</v>
      </c>
      <c r="C125" s="925"/>
      <c r="D125" s="925"/>
      <c r="E125" s="925"/>
      <c r="F125" s="925"/>
      <c r="G125" s="925"/>
      <c r="H125" s="925"/>
      <c r="I125" s="925"/>
      <c r="J125" s="925"/>
      <c r="K125" s="925"/>
      <c r="L125" s="925"/>
      <c r="M125" s="925"/>
      <c r="N125" s="925"/>
      <c r="O125" s="925"/>
      <c r="P125" s="925"/>
      <c r="Q125" s="2"/>
      <c r="R125" s="10"/>
      <c r="S125" s="10"/>
      <c r="T125" s="77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3">
      <c r="A126" s="2"/>
      <c r="B126" s="1014"/>
      <c r="C126" s="1014"/>
      <c r="D126" s="1014"/>
      <c r="E126" s="1014"/>
      <c r="F126" s="1014"/>
      <c r="G126" s="1014"/>
      <c r="H126" s="1014"/>
      <c r="I126" s="1014"/>
      <c r="J126" s="1014"/>
      <c r="K126" s="1014"/>
      <c r="L126" s="1014"/>
      <c r="M126" s="1014"/>
      <c r="N126" s="1014"/>
      <c r="O126" s="1014"/>
      <c r="P126" s="21">
        <f>SUMIF(U125:AO125,B126,U126:AO126)</f>
        <v>0</v>
      </c>
      <c r="Q126" s="2"/>
      <c r="R126" s="10"/>
      <c r="S126" s="10"/>
      <c r="T126" s="77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35">
      <c r="A127" s="2"/>
      <c r="B127" s="1244"/>
      <c r="C127" s="1244"/>
      <c r="D127" s="1244"/>
      <c r="E127" s="1244"/>
      <c r="F127" s="1244"/>
      <c r="G127" s="1244"/>
      <c r="H127" s="1244"/>
      <c r="I127" s="1244"/>
      <c r="J127" s="1244"/>
      <c r="K127" s="1244"/>
      <c r="L127" s="1244"/>
      <c r="M127" s="1244"/>
      <c r="N127" s="1244"/>
      <c r="O127" s="1244"/>
      <c r="P127" s="1244"/>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3">
      <c r="A128" s="2"/>
      <c r="B128" s="940" t="s">
        <v>869</v>
      </c>
      <c r="C128" s="941"/>
      <c r="D128" s="941"/>
      <c r="E128" s="941"/>
      <c r="F128" s="941"/>
      <c r="G128" s="941"/>
      <c r="H128" s="941"/>
      <c r="I128" s="941"/>
      <c r="J128" s="941"/>
      <c r="K128" s="941"/>
      <c r="L128" s="941"/>
      <c r="M128" s="941"/>
      <c r="N128" s="941"/>
      <c r="O128" s="941"/>
      <c r="P128" s="845"/>
      <c r="Q128" s="2"/>
      <c r="R128" s="10"/>
      <c r="S128" s="10"/>
      <c r="T128" s="10"/>
      <c r="U128" s="10"/>
      <c r="V128" s="10"/>
      <c r="W128" s="10"/>
      <c r="X128" s="10"/>
      <c r="Y128" s="10"/>
      <c r="Z128" s="10"/>
      <c r="AA128" s="739" t="s">
        <v>1084</v>
      </c>
      <c r="AB128" s="739"/>
      <c r="AC128" s="739"/>
      <c r="AD128" s="739"/>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3">
      <c r="A129" s="2"/>
      <c r="B129" s="285" t="s">
        <v>1545</v>
      </c>
      <c r="C129" s="1277"/>
      <c r="D129" s="1278"/>
      <c r="E129" s="1278"/>
      <c r="F129" s="1278"/>
      <c r="G129" s="1278"/>
      <c r="H129" s="1278"/>
      <c r="I129" s="1278"/>
      <c r="J129" s="1278"/>
      <c r="K129" s="1278"/>
      <c r="L129" s="1272"/>
      <c r="M129" s="1273"/>
      <c r="N129" s="1274"/>
      <c r="O129" s="67">
        <f>IF(C129=T129,0.45,IF(C129=U129,0.3,IF(C129=V129,0.45,0)))</f>
        <v>0</v>
      </c>
      <c r="P129" s="846"/>
      <c r="Q129" s="2"/>
      <c r="R129" s="947"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3">
      <c r="A130" s="2"/>
      <c r="B130" s="277" t="s">
        <v>1705</v>
      </c>
      <c r="C130" s="1260"/>
      <c r="D130" s="1269"/>
      <c r="E130" s="1269"/>
      <c r="F130" s="1269"/>
      <c r="G130" s="1269"/>
      <c r="H130" s="1269"/>
      <c r="I130" s="1269"/>
      <c r="J130" s="1269"/>
      <c r="K130" s="1269"/>
      <c r="L130" s="1019"/>
      <c r="M130" s="1020"/>
      <c r="N130" s="1021"/>
      <c r="O130" s="64">
        <f>IF(C130=T130,0.8,IF(C130=U130,0.45,IF(C130=V130,0.8,0)))</f>
        <v>0</v>
      </c>
      <c r="P130" s="846"/>
      <c r="Q130" s="2"/>
      <c r="R130" s="947"/>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3">
      <c r="A131" s="2"/>
      <c r="B131" s="1276"/>
      <c r="C131" s="1211"/>
      <c r="D131" s="1211"/>
      <c r="E131" s="1211"/>
      <c r="F131" s="1211"/>
      <c r="G131" s="1211"/>
      <c r="H131" s="1211"/>
      <c r="I131" s="1211"/>
      <c r="J131" s="1211"/>
      <c r="K131" s="1211"/>
      <c r="L131" s="1211"/>
      <c r="M131" s="1211"/>
      <c r="N131" s="1211"/>
      <c r="O131" s="1211"/>
      <c r="P131" s="846"/>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3">
      <c r="A132" s="2"/>
      <c r="B132" s="298"/>
      <c r="C132" s="925" t="s">
        <v>1595</v>
      </c>
      <c r="D132" s="925"/>
      <c r="E132" s="925"/>
      <c r="F132" s="925"/>
      <c r="G132" s="927" t="s">
        <v>1081</v>
      </c>
      <c r="H132" s="927"/>
      <c r="I132" s="927"/>
      <c r="J132" s="927"/>
      <c r="K132" s="927"/>
      <c r="L132" s="792"/>
      <c r="M132" s="792"/>
      <c r="N132" s="792"/>
      <c r="O132" s="792"/>
      <c r="P132" s="846"/>
      <c r="Q132" s="2"/>
      <c r="R132" s="10"/>
      <c r="S132" s="2"/>
      <c r="T132" s="927" t="s">
        <v>1257</v>
      </c>
      <c r="U132" s="927"/>
      <c r="V132" s="10"/>
      <c r="W132" s="10"/>
      <c r="X132" s="10"/>
      <c r="Y132" s="922" t="s">
        <v>2259</v>
      </c>
      <c r="Z132" s="926"/>
      <c r="AA132" s="923"/>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3">
      <c r="A133" s="2"/>
      <c r="B133" s="297" t="s">
        <v>1840</v>
      </c>
      <c r="C133" s="925" t="s">
        <v>365</v>
      </c>
      <c r="D133" s="1279"/>
      <c r="E133" s="925" t="s">
        <v>1795</v>
      </c>
      <c r="F133" s="925"/>
      <c r="G133" s="925" t="s">
        <v>365</v>
      </c>
      <c r="H133" s="925"/>
      <c r="I133" s="925"/>
      <c r="J133" s="925" t="s">
        <v>1795</v>
      </c>
      <c r="K133" s="925"/>
      <c r="L133" s="1046"/>
      <c r="M133" s="1046"/>
      <c r="N133" s="1046"/>
      <c r="O133" s="1046"/>
      <c r="P133" s="846"/>
      <c r="Q133" s="2"/>
      <c r="S133" s="50" t="s">
        <v>1572</v>
      </c>
      <c r="T133" s="259" t="s">
        <v>1595</v>
      </c>
      <c r="U133" s="259" t="s">
        <v>1596</v>
      </c>
      <c r="V133" s="925" t="s">
        <v>1083</v>
      </c>
      <c r="W133" s="925"/>
      <c r="X133" s="2"/>
      <c r="Y133" s="18">
        <f>IF(OR(O129&gt;0,O130&gt;0,E135&gt;0,E137&gt;0),1,0)</f>
        <v>0</v>
      </c>
      <c r="Z133" s="641">
        <f>IF(AND(OR(O129&gt;0,O130&gt;0),OR(E134&gt;0,E136&gt;0),C139&gt;0),C139*O138,O138)</f>
        <v>0</v>
      </c>
      <c r="AA133" s="639">
        <f>IF(AND(Y133=0,C139&gt;0),C139*AB138,AB138)</f>
        <v>0</v>
      </c>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3">
      <c r="A134" s="2"/>
      <c r="B134" s="297" t="s">
        <v>1334</v>
      </c>
      <c r="C134" s="1260"/>
      <c r="D134" s="1261"/>
      <c r="E134" s="1202">
        <f>LETable!AJ24</f>
        <v>0</v>
      </c>
      <c r="F134" s="1202"/>
      <c r="G134" s="708"/>
      <c r="H134" s="708"/>
      <c r="I134" s="708"/>
      <c r="J134" s="1206">
        <f>IF(C134="",0,IF(OR(C134&lt;=0,G134&lt;=0),E134,IF(G134&lt;C134,0,LETable!AO24)))</f>
        <v>0</v>
      </c>
      <c r="K134" s="1206"/>
      <c r="L134" s="1256" t="str">
        <f>IF(OR(C134="NA",G134="NA"),"",IF(AND(C134&lt;&gt;"",G134=""),"Enter contralateral or NA.",IF(AND(C134="",G134&lt;&gt;""),"Need data","")))</f>
        <v/>
      </c>
      <c r="M134" s="1256"/>
      <c r="N134" s="1256"/>
      <c r="O134" s="1257"/>
      <c r="P134" s="846"/>
      <c r="Q134" s="2"/>
      <c r="R134" s="10"/>
      <c r="S134" s="50">
        <v>40</v>
      </c>
      <c r="T134" s="50" t="str">
        <f>IF(OR(C134="",C134="NA"),"",IF(C134&gt;S134,S134,IF(C134&lt;0,0,C134)))</f>
        <v/>
      </c>
      <c r="U134" s="531" t="str">
        <f>IF(OR(G134="",G134="NA"),"",IF(G134&gt;S134,S134,IF(G134&lt;0,0,G134)))</f>
        <v/>
      </c>
      <c r="V134" s="562" t="str">
        <f>IF(W134="","",ROUND(W134,0))</f>
        <v/>
      </c>
      <c r="W134" s="563"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3">
      <c r="A135" s="2"/>
      <c r="B135" s="297" t="s">
        <v>1335</v>
      </c>
      <c r="C135" s="1260"/>
      <c r="D135" s="1261"/>
      <c r="E135" s="1202">
        <f>IF(AND(C135&lt;&gt;"",C135&lt;&gt;"NA",C134&lt;&gt;"NA",C134&lt;&gt;""),"ERROR",IF(AND(C135&lt;&gt;"",C135&lt;&gt;"NA",C136&lt;&gt;"",C136&lt;&gt;"NA"),"ERROR",LETable!AJ25))</f>
        <v>0</v>
      </c>
      <c r="F135" s="1202"/>
      <c r="G135" s="946" t="str">
        <f>IF(E135="ERROR","Error: Cannot rate ROM and ankylosis.","")</f>
        <v/>
      </c>
      <c r="H135" s="946"/>
      <c r="I135" s="946"/>
      <c r="J135" s="946"/>
      <c r="K135" s="946"/>
      <c r="L135" s="946"/>
      <c r="M135" s="946"/>
      <c r="N135" s="946"/>
      <c r="O135" s="1073"/>
      <c r="P135" s="846"/>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3">
      <c r="A136" s="2"/>
      <c r="B136" s="128" t="s">
        <v>1255</v>
      </c>
      <c r="C136" s="1260"/>
      <c r="D136" s="1261"/>
      <c r="E136" s="1202">
        <f>LETable!AJ26</f>
        <v>0</v>
      </c>
      <c r="F136" s="1202"/>
      <c r="G136" s="708"/>
      <c r="H136" s="708"/>
      <c r="I136" s="708"/>
      <c r="J136" s="1206">
        <f>IF(C136="",0,IF(OR(C136&lt;=0,G136&lt;=0),E136,IF(G136&lt;C136,0,LETable!AO26)))</f>
        <v>0</v>
      </c>
      <c r="K136" s="1206"/>
      <c r="L136" s="1256" t="str">
        <f>IF(OR(C136="NA",G136="NA"),"",IF(AND(C136&lt;&gt;"",G136=""),"Enter contralateral or NA.",IF(AND(C136="",G136&lt;&gt;""),"Need data","")))</f>
        <v/>
      </c>
      <c r="M136" s="1256"/>
      <c r="N136" s="1256"/>
      <c r="O136" s="1257"/>
      <c r="P136" s="846"/>
      <c r="Q136" s="2"/>
      <c r="R136" s="10"/>
      <c r="S136" s="50">
        <v>30</v>
      </c>
      <c r="T136" s="50" t="str">
        <f>IF(OR(C136="",C136="NA"),"",IF(C136&gt;S136,S136,IF(C136&lt;0,0,C136)))</f>
        <v/>
      </c>
      <c r="U136" s="531"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3">
      <c r="A137" s="2"/>
      <c r="B137" s="296" t="s">
        <v>1839</v>
      </c>
      <c r="C137" s="1260"/>
      <c r="D137" s="1275"/>
      <c r="E137" s="1202">
        <f>IF(AND(C137&lt;&gt;"",C137&lt;&gt;"NA",C136&lt;&gt;"NA",C136&lt;&gt;""),"ERROR",IF(AND(C137&lt;&gt;"",C137&lt;&gt;"NA",C134&lt;&gt;"",C134&lt;&gt;"NA"),"ERROR",LETable!AJ27))</f>
        <v>0</v>
      </c>
      <c r="F137" s="1202"/>
      <c r="G137" s="1203" t="str">
        <f>IF(E137="ERROR","Error: Cannot rate ROM and ankylosis.",IF(AND(C135&lt;&gt;"",C135&lt;&gt;"NA",C137&lt;&gt;"",C137&lt;&gt;"NA"),"Multiple ankylosis values; use higher value only.",""))</f>
        <v/>
      </c>
      <c r="H137" s="1204"/>
      <c r="I137" s="1204"/>
      <c r="J137" s="1204"/>
      <c r="K137" s="1204"/>
      <c r="L137" s="1204"/>
      <c r="M137" s="1204"/>
      <c r="N137" s="1204"/>
      <c r="O137" s="1205"/>
      <c r="P137" s="846"/>
      <c r="Q137" s="2"/>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3">
      <c r="A138" s="2"/>
      <c r="B138" s="636"/>
      <c r="C138" s="637"/>
      <c r="D138" s="637"/>
      <c r="E138" s="998" t="str">
        <f>IF(AND(OR(O129&gt;0,O130&gt;0,E135&gt;0,E137&gt;0),C139&gt;0),"Note: Ankylosis impairment is not apportioned.","")</f>
        <v/>
      </c>
      <c r="F138" s="999"/>
      <c r="G138" s="999"/>
      <c r="H138" s="999"/>
      <c r="I138" s="999"/>
      <c r="J138" s="1000"/>
      <c r="K138" s="1099" t="s">
        <v>1841</v>
      </c>
      <c r="L138" s="1100"/>
      <c r="M138" s="1100"/>
      <c r="N138" s="1101"/>
      <c r="O138" s="59">
        <f>IF(OR(E135="ERROR",E137="ERROR"),"ERROR",IF(R138&gt;1,1,R138))</f>
        <v>0</v>
      </c>
      <c r="P138" s="847"/>
      <c r="Q138" s="2"/>
      <c r="R138" s="193">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3">
      <c r="A139" s="2"/>
      <c r="B139" s="13" t="s">
        <v>2255</v>
      </c>
      <c r="C139" s="935"/>
      <c r="D139" s="960"/>
      <c r="E139" s="975"/>
      <c r="F139" s="976"/>
      <c r="G139" s="976"/>
      <c r="H139" s="976"/>
      <c r="I139" s="976"/>
      <c r="J139" s="977"/>
      <c r="K139" s="1099" t="s">
        <v>435</v>
      </c>
      <c r="L139" s="1100"/>
      <c r="M139" s="1100"/>
      <c r="N139" s="1100"/>
      <c r="O139" s="1101"/>
      <c r="P139" s="248">
        <f>IF(O138="ERROR","ERROR",IF(AND(AA133&gt;0,AA133&lt;0.01),0.01,ROUND(AA133,2)))</f>
        <v>0</v>
      </c>
      <c r="Q139" s="2"/>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3">
      <c r="A140" s="2"/>
      <c r="B140" s="1211"/>
      <c r="C140" s="1211"/>
      <c r="D140" s="1211"/>
      <c r="E140" s="1211"/>
      <c r="F140" s="1211"/>
      <c r="G140" s="1211"/>
      <c r="H140" s="1211"/>
      <c r="I140" s="1211"/>
      <c r="J140" s="1211"/>
      <c r="K140" s="1211"/>
      <c r="L140" s="1211"/>
      <c r="M140" s="1211"/>
      <c r="N140" s="1211"/>
      <c r="O140" s="1211"/>
      <c r="P140" s="384"/>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3">
      <c r="A141" s="2"/>
      <c r="B141" s="940" t="s">
        <v>2002</v>
      </c>
      <c r="C141" s="941"/>
      <c r="D141" s="941"/>
      <c r="E141" s="941"/>
      <c r="F141" s="941"/>
      <c r="G141" s="941"/>
      <c r="H141" s="941"/>
      <c r="I141" s="941"/>
      <c r="J141" s="941"/>
      <c r="K141" s="941"/>
      <c r="L141" s="941"/>
      <c r="M141" s="941"/>
      <c r="N141" s="941"/>
      <c r="O141" s="941"/>
      <c r="P141" s="385"/>
      <c r="Q141" s="2"/>
      <c r="R141" s="10"/>
      <c r="S141" s="878" t="s">
        <v>2196</v>
      </c>
      <c r="T141" s="878"/>
      <c r="U141" s="87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3">
      <c r="A142" s="2"/>
      <c r="B142" s="308" t="s">
        <v>2011</v>
      </c>
      <c r="C142" s="1281"/>
      <c r="D142" s="1282"/>
      <c r="E142" s="1282"/>
      <c r="F142" s="1282"/>
      <c r="G142" s="1282"/>
      <c r="H142" s="1282"/>
      <c r="I142" s="1282"/>
      <c r="J142" s="1282"/>
      <c r="K142" s="1282"/>
      <c r="L142" s="1282"/>
      <c r="M142" s="1282"/>
      <c r="N142" s="1283"/>
      <c r="O142" s="70"/>
      <c r="P142" s="21">
        <f>IF($W$239&gt;0,0,R142)</f>
        <v>0</v>
      </c>
      <c r="Q142" s="2"/>
      <c r="R142" s="147">
        <f>IF(C142=S142,0,IF(C142=T142,0.05,IF(C142=U142,0.1,0)))</f>
        <v>0</v>
      </c>
      <c r="S142" s="50" t="s">
        <v>1941</v>
      </c>
      <c r="T142" s="50" t="s">
        <v>1784</v>
      </c>
      <c r="U142" s="50" t="s">
        <v>1785</v>
      </c>
      <c r="V142" s="97"/>
      <c r="W142" s="96"/>
      <c r="X142" s="133"/>
      <c r="Y142" s="126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3">
      <c r="A143" s="2"/>
      <c r="B143" s="308" t="s">
        <v>2012</v>
      </c>
      <c r="C143" s="1270"/>
      <c r="D143" s="1271"/>
      <c r="E143" s="1271"/>
      <c r="F143" s="1271"/>
      <c r="G143" s="1271"/>
      <c r="H143" s="1271"/>
      <c r="I143" s="1271"/>
      <c r="J143" s="1271"/>
      <c r="K143" s="1271"/>
      <c r="L143" s="1271"/>
      <c r="M143" s="1271"/>
      <c r="N143" s="1280"/>
      <c r="O143" s="71"/>
      <c r="P143" s="21">
        <f>IF($W$239&gt;0,0,R143)</f>
        <v>0</v>
      </c>
      <c r="Q143" s="2"/>
      <c r="R143" s="147">
        <f>IF(C143=S143,0,IF(C143=T143,0.05,IF(C143=U143,0.1,0)))</f>
        <v>0</v>
      </c>
      <c r="S143" s="50" t="s">
        <v>1941</v>
      </c>
      <c r="T143" s="50" t="s">
        <v>1996</v>
      </c>
      <c r="U143" s="50" t="s">
        <v>1997</v>
      </c>
      <c r="V143" s="97"/>
      <c r="W143" s="96"/>
      <c r="X143" s="133"/>
      <c r="Y143" s="126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3">
      <c r="A144" s="2"/>
      <c r="B144" s="1056" t="str">
        <f>IF(AND(OR(R142&gt;0,R143&gt;0),$W$239&gt;0),"A value has been given for loss of sensation or hypersensitivity in the foot. No additional value is allowed for the toes.","")</f>
        <v/>
      </c>
      <c r="C144" s="1056"/>
      <c r="D144" s="1056"/>
      <c r="E144" s="1056"/>
      <c r="F144" s="1056"/>
      <c r="G144" s="1056"/>
      <c r="H144" s="1056"/>
      <c r="I144" s="1056"/>
      <c r="J144" s="1056"/>
      <c r="K144" s="1056"/>
      <c r="L144" s="1056"/>
      <c r="M144" s="1056"/>
      <c r="N144" s="1056"/>
      <c r="O144" s="1056"/>
      <c r="P144" s="529"/>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3">
      <c r="A145" s="2"/>
      <c r="B145" s="712"/>
      <c r="C145" s="792"/>
      <c r="D145" s="792"/>
      <c r="E145" s="792"/>
      <c r="F145" s="792"/>
      <c r="G145" s="792"/>
      <c r="H145" s="792"/>
      <c r="I145" s="792"/>
      <c r="J145" s="792"/>
      <c r="K145" s="792"/>
      <c r="L145" s="792"/>
      <c r="M145" s="792"/>
      <c r="N145" s="792"/>
      <c r="O145" s="792"/>
      <c r="P145" s="63"/>
      <c r="Q145" s="2"/>
      <c r="R145" s="10"/>
      <c r="S145" s="10"/>
      <c r="Y145" s="10"/>
      <c r="Z145" s="739"/>
      <c r="AA145" s="739"/>
      <c r="AB145" s="739"/>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3">
      <c r="A146" s="2"/>
      <c r="B146" s="776" t="s">
        <v>2015</v>
      </c>
      <c r="C146" s="776"/>
      <c r="D146" s="776"/>
      <c r="E146" s="776"/>
      <c r="F146" s="776"/>
      <c r="G146" s="776"/>
      <c r="H146" s="776"/>
      <c r="I146" s="776"/>
      <c r="J146" s="776"/>
      <c r="K146" s="776"/>
      <c r="L146" s="776"/>
      <c r="M146" s="776"/>
      <c r="N146" s="708"/>
      <c r="O146" s="708"/>
      <c r="P146" s="21">
        <f>IF(N146=T146,0.03,IF(N146=U146,0.15,IF(N146=V146,0.38,IF(N146=W146,0.68,IF(N146=X146,0.9,0)))))</f>
        <v>0</v>
      </c>
      <c r="Q146" s="2"/>
      <c r="R146" s="878" t="s">
        <v>2196</v>
      </c>
      <c r="S146" s="878"/>
      <c r="T146" s="50" t="s">
        <v>1968</v>
      </c>
      <c r="U146" s="50" t="s">
        <v>1969</v>
      </c>
      <c r="V146" s="147" t="s">
        <v>1971</v>
      </c>
      <c r="W146" s="50" t="s">
        <v>945</v>
      </c>
      <c r="X146" s="147" t="s">
        <v>558</v>
      </c>
      <c r="Y146" s="10"/>
      <c r="Z146" s="739"/>
      <c r="AA146" s="739"/>
      <c r="AB146" s="739"/>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3">
      <c r="A147" s="2"/>
      <c r="B147" s="527"/>
      <c r="C147" s="527"/>
      <c r="D147" s="527"/>
      <c r="E147" s="527"/>
      <c r="F147" s="527"/>
      <c r="G147" s="527"/>
      <c r="H147" s="527"/>
      <c r="I147" s="527"/>
      <c r="J147" s="527"/>
      <c r="K147" s="527"/>
      <c r="L147" s="527"/>
      <c r="M147" s="527"/>
      <c r="N147" s="527"/>
      <c r="O147" s="527"/>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3">
      <c r="A148" s="15"/>
      <c r="B148" s="259" t="s">
        <v>1708</v>
      </c>
      <c r="C148" s="1083"/>
      <c r="D148" s="1022"/>
      <c r="E148" s="757" t="s">
        <v>1709</v>
      </c>
      <c r="F148" s="758"/>
      <c r="G148" s="758"/>
      <c r="H148" s="758"/>
      <c r="I148" s="758"/>
      <c r="J148" s="758"/>
      <c r="K148" s="758"/>
      <c r="L148" s="758"/>
      <c r="M148" s="758"/>
      <c r="N148" s="758"/>
      <c r="O148" s="759"/>
      <c r="P148" s="248">
        <f>IF(T148=1,0.15,0)</f>
        <v>0</v>
      </c>
      <c r="Q148" s="2"/>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3">
      <c r="A149" s="2"/>
      <c r="B149" s="259" t="s">
        <v>1710</v>
      </c>
      <c r="C149" s="1083"/>
      <c r="D149" s="1022"/>
      <c r="E149" s="757" t="s">
        <v>1711</v>
      </c>
      <c r="F149" s="758"/>
      <c r="G149" s="758"/>
      <c r="H149" s="758"/>
      <c r="I149" s="758"/>
      <c r="J149" s="758"/>
      <c r="K149" s="758"/>
      <c r="L149" s="758"/>
      <c r="M149" s="758"/>
      <c r="N149" s="758"/>
      <c r="O149" s="759"/>
      <c r="P149" s="248">
        <f>IF(T149=1,0.25,0)</f>
        <v>0</v>
      </c>
      <c r="Q149" s="2"/>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3">
      <c r="A150" s="2"/>
      <c r="B150" s="386" t="s">
        <v>626</v>
      </c>
      <c r="C150" s="1025"/>
      <c r="D150" s="1025"/>
      <c r="E150" s="937" t="s">
        <v>627</v>
      </c>
      <c r="F150" s="938"/>
      <c r="G150" s="938"/>
      <c r="H150" s="938"/>
      <c r="I150" s="938"/>
      <c r="J150" s="938"/>
      <c r="K150" s="938"/>
      <c r="L150" s="938"/>
      <c r="M150" s="938"/>
      <c r="N150" s="938"/>
      <c r="O150" s="939"/>
      <c r="P150" s="299">
        <f>IF(T150=1,0.25,0)</f>
        <v>0</v>
      </c>
      <c r="Q150" s="2"/>
      <c r="R150" s="10"/>
      <c r="S150" s="570"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3">
      <c r="A151" s="2"/>
      <c r="B151" s="1212"/>
      <c r="C151" s="1212"/>
      <c r="D151" s="1212"/>
      <c r="E151" s="1212"/>
      <c r="F151" s="1212"/>
      <c r="G151" s="1212"/>
      <c r="H151" s="1212"/>
      <c r="I151" s="1212"/>
      <c r="J151" s="1212"/>
      <c r="K151" s="1212"/>
      <c r="L151" s="1212"/>
      <c r="M151" s="1212"/>
      <c r="N151" s="1212"/>
      <c r="O151" s="1212"/>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3">
      <c r="A152" s="2"/>
      <c r="B152" s="879" t="s">
        <v>438</v>
      </c>
      <c r="C152" s="880"/>
      <c r="D152" s="880"/>
      <c r="E152" s="880"/>
      <c r="F152" s="880"/>
      <c r="G152" s="927" t="s">
        <v>1524</v>
      </c>
      <c r="H152" s="925"/>
      <c r="I152" s="925"/>
      <c r="J152" s="925"/>
      <c r="K152" s="925"/>
      <c r="L152" s="1215"/>
      <c r="M152" s="1216"/>
      <c r="N152" s="1216"/>
      <c r="O152" s="1217"/>
      <c r="P152" s="872">
        <f>IF(J161&gt;0,J161,V159)</f>
        <v>0</v>
      </c>
      <c r="Q152" s="2"/>
      <c r="R152" s="10"/>
      <c r="S152" s="50" t="s">
        <v>1864</v>
      </c>
      <c r="T152" s="50" t="s">
        <v>1304</v>
      </c>
      <c r="U152" s="50" t="s">
        <v>1305</v>
      </c>
      <c r="V152" s="50" t="s">
        <v>1306</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3">
      <c r="A153" s="2"/>
      <c r="B153" s="791" t="s">
        <v>628</v>
      </c>
      <c r="C153" s="791"/>
      <c r="D153" s="791"/>
      <c r="E153" s="996">
        <f>P126</f>
        <v>0</v>
      </c>
      <c r="F153" s="877"/>
      <c r="G153" s="940" t="s">
        <v>1941</v>
      </c>
      <c r="H153" s="941"/>
      <c r="I153" s="942"/>
      <c r="J153" s="925"/>
      <c r="K153" s="925"/>
      <c r="L153" s="1215"/>
      <c r="M153" s="1216"/>
      <c r="N153" s="1216"/>
      <c r="O153" s="1217"/>
      <c r="P153" s="1010"/>
      <c r="Q153" s="2"/>
      <c r="R153" s="10"/>
      <c r="S153" s="557">
        <f>E153</f>
        <v>0</v>
      </c>
      <c r="T153" s="147">
        <f>LARGE($S$153:$S$160,1)</f>
        <v>0</v>
      </c>
      <c r="U153" s="553">
        <f>T153+T154*(1-T153)</f>
        <v>0</v>
      </c>
      <c r="V153" s="557">
        <f t="shared" ref="V153:V159" si="8">ROUND(U153,2)</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3">
      <c r="A154" s="2"/>
      <c r="B154" s="806" t="s">
        <v>1958</v>
      </c>
      <c r="C154" s="806"/>
      <c r="D154" s="806"/>
      <c r="E154" s="770">
        <f>IF(P427&gt;0,0,P139)</f>
        <v>0</v>
      </c>
      <c r="F154" s="747"/>
      <c r="G154" s="1115" t="s">
        <v>2256</v>
      </c>
      <c r="H154" s="1177"/>
      <c r="I154" s="1116"/>
      <c r="J154" s="925"/>
      <c r="K154" s="925"/>
      <c r="L154" s="1128"/>
      <c r="M154" s="1129"/>
      <c r="N154" s="1129"/>
      <c r="O154" s="1130"/>
      <c r="P154" s="1010"/>
      <c r="Q154" s="2"/>
      <c r="R154" s="10"/>
      <c r="S154" s="147">
        <f>IF(J154&gt;0,J154,E154)</f>
        <v>0</v>
      </c>
      <c r="T154" s="147">
        <f>LARGE($S$153:$S$160,2)</f>
        <v>0</v>
      </c>
      <c r="U154" s="553">
        <f t="shared" ref="U154:U159" si="9">V153+T155*(1-V153)</f>
        <v>0</v>
      </c>
      <c r="V154" s="557">
        <f t="shared" si="8"/>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3">
      <c r="A155" s="2"/>
      <c r="B155" s="806" t="s">
        <v>2016</v>
      </c>
      <c r="C155" s="806"/>
      <c r="D155" s="806"/>
      <c r="E155" s="770">
        <f>P142</f>
        <v>0</v>
      </c>
      <c r="F155" s="747"/>
      <c r="G155" s="1028"/>
      <c r="H155" s="1028"/>
      <c r="I155" s="1028"/>
      <c r="J155" s="1188">
        <f>IF(AND(W155&lt;0.01,W155&gt;0),0.01,ROUND(W155,2))</f>
        <v>0</v>
      </c>
      <c r="K155" s="1188"/>
      <c r="L155" s="633"/>
      <c r="M155" s="634"/>
      <c r="N155" s="634"/>
      <c r="O155" s="635"/>
      <c r="P155" s="1010"/>
      <c r="Q155" s="2"/>
      <c r="R155" s="10"/>
      <c r="S155" s="147">
        <f>IF(J155&gt;0,J155,E155)</f>
        <v>0</v>
      </c>
      <c r="T155" s="147">
        <f>LARGE($S$153:$S$160,3)</f>
        <v>0</v>
      </c>
      <c r="U155" s="553">
        <f t="shared" si="9"/>
        <v>0</v>
      </c>
      <c r="V155" s="557">
        <f t="shared" si="8"/>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3">
      <c r="A156" s="2"/>
      <c r="B156" s="757" t="s">
        <v>1226</v>
      </c>
      <c r="C156" s="758"/>
      <c r="D156" s="759"/>
      <c r="E156" s="770">
        <f>P143</f>
        <v>0</v>
      </c>
      <c r="F156" s="747"/>
      <c r="G156" s="1028"/>
      <c r="H156" s="1028"/>
      <c r="I156" s="1028"/>
      <c r="J156" s="1188">
        <f>IF(AND(W156&lt;0.01,W156&gt;0),0.01,ROUND(W156,2))</f>
        <v>0</v>
      </c>
      <c r="K156" s="1188"/>
      <c r="L156" s="633"/>
      <c r="M156" s="634"/>
      <c r="N156" s="634"/>
      <c r="O156" s="635"/>
      <c r="P156" s="1010"/>
      <c r="Q156" s="2"/>
      <c r="R156" s="10"/>
      <c r="S156" s="147">
        <f>IF(J156&gt;0,J156,E156)</f>
        <v>0</v>
      </c>
      <c r="T156" s="147">
        <f>LARGE($S$153:$S$160,4)</f>
        <v>0</v>
      </c>
      <c r="U156" s="553">
        <f t="shared" si="9"/>
        <v>0</v>
      </c>
      <c r="V156" s="557">
        <f t="shared" si="8"/>
        <v>0</v>
      </c>
      <c r="W156" s="21">
        <f t="shared" ref="W156:W157" si="10">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3">
      <c r="A157" s="2"/>
      <c r="B157" s="757" t="s">
        <v>1446</v>
      </c>
      <c r="C157" s="758"/>
      <c r="D157" s="759"/>
      <c r="E157" s="742">
        <f>P146</f>
        <v>0</v>
      </c>
      <c r="F157" s="744"/>
      <c r="G157" s="1028"/>
      <c r="H157" s="1028"/>
      <c r="I157" s="1028"/>
      <c r="J157" s="1188">
        <f>IF(AND(W157&lt;0.01,W157&gt;0),0.01,ROUND(W157,2))</f>
        <v>0</v>
      </c>
      <c r="K157" s="1188"/>
      <c r="L157" s="972" t="str">
        <f>IF(AND(P139&gt;0,$P$427&gt;0),"The worker has motor loss impairment. No additional impairment value is allowed for reduced range of motion in the same extremity.","")</f>
        <v/>
      </c>
      <c r="M157" s="973"/>
      <c r="N157" s="973"/>
      <c r="O157" s="974"/>
      <c r="P157" s="1010"/>
      <c r="Q157" s="2"/>
      <c r="R157" s="10"/>
      <c r="S157" s="147">
        <f>IF(J157&gt;0,J157,E157)</f>
        <v>0</v>
      </c>
      <c r="T157" s="147">
        <f>LARGE($S$153:$S$160,5)</f>
        <v>0</v>
      </c>
      <c r="U157" s="553">
        <f t="shared" si="9"/>
        <v>0</v>
      </c>
      <c r="V157" s="557">
        <f t="shared" si="8"/>
        <v>0</v>
      </c>
      <c r="W157" s="21">
        <f t="shared" si="10"/>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3">
      <c r="A158" s="2"/>
      <c r="B158" s="806" t="s">
        <v>1712</v>
      </c>
      <c r="C158" s="806"/>
      <c r="D158" s="806"/>
      <c r="E158" s="770">
        <f>P148</f>
        <v>0</v>
      </c>
      <c r="F158" s="747"/>
      <c r="G158" s="940" t="s">
        <v>1941</v>
      </c>
      <c r="H158" s="941"/>
      <c r="I158" s="942"/>
      <c r="J158" s="925"/>
      <c r="K158" s="925"/>
      <c r="L158" s="972"/>
      <c r="M158" s="973"/>
      <c r="N158" s="973"/>
      <c r="O158" s="974"/>
      <c r="P158" s="1010"/>
      <c r="Q158" s="2"/>
      <c r="R158" s="10"/>
      <c r="S158" s="557">
        <f>E158</f>
        <v>0</v>
      </c>
      <c r="T158" s="147">
        <f>LARGE($S$153:$S$160,6)</f>
        <v>0</v>
      </c>
      <c r="U158" s="553">
        <f t="shared" si="9"/>
        <v>0</v>
      </c>
      <c r="V158" s="557">
        <f t="shared" si="8"/>
        <v>0</v>
      </c>
      <c r="W158" s="10"/>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3">
      <c r="A159" s="2"/>
      <c r="B159" s="757" t="s">
        <v>1713</v>
      </c>
      <c r="C159" s="758"/>
      <c r="D159" s="759"/>
      <c r="E159" s="742">
        <f>P149</f>
        <v>0</v>
      </c>
      <c r="F159" s="743"/>
      <c r="G159" s="940" t="s">
        <v>1941</v>
      </c>
      <c r="H159" s="941"/>
      <c r="I159" s="942"/>
      <c r="J159" s="925"/>
      <c r="K159" s="925"/>
      <c r="L159" s="972"/>
      <c r="M159" s="973"/>
      <c r="N159" s="973"/>
      <c r="O159" s="974"/>
      <c r="P159" s="1010"/>
      <c r="Q159" s="2"/>
      <c r="R159" s="10"/>
      <c r="S159" s="557">
        <f>E159</f>
        <v>0</v>
      </c>
      <c r="T159" s="147">
        <f>LARGE($S$153:$S$160,7)</f>
        <v>0</v>
      </c>
      <c r="U159" s="553">
        <f t="shared" si="9"/>
        <v>0</v>
      </c>
      <c r="V159" s="557">
        <f t="shared" si="8"/>
        <v>0</v>
      </c>
      <c r="W159" s="10"/>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3">
      <c r="A160" s="2"/>
      <c r="B160" s="804" t="s">
        <v>1128</v>
      </c>
      <c r="C160" s="804"/>
      <c r="D160" s="804"/>
      <c r="E160" s="1015">
        <f>P150</f>
        <v>0</v>
      </c>
      <c r="F160" s="1015"/>
      <c r="G160" s="1166" t="s">
        <v>1941</v>
      </c>
      <c r="H160" s="1161"/>
      <c r="I160" s="1167"/>
      <c r="J160" s="845"/>
      <c r="K160" s="845"/>
      <c r="L160" s="972"/>
      <c r="M160" s="973"/>
      <c r="N160" s="973"/>
      <c r="O160" s="974"/>
      <c r="P160" s="1010"/>
      <c r="Q160" s="2"/>
      <c r="R160" s="10"/>
      <c r="S160" s="557">
        <f>E160</f>
        <v>0</v>
      </c>
      <c r="T160" s="147">
        <f>LARGE($S$153:$S$160,8)</f>
        <v>0</v>
      </c>
      <c r="U160" s="96"/>
      <c r="V160" s="129"/>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3">
      <c r="A161" s="2"/>
      <c r="B161" s="958" t="s">
        <v>437</v>
      </c>
      <c r="C161" s="958"/>
      <c r="D161" s="958"/>
      <c r="E161" s="958"/>
      <c r="F161" s="958"/>
      <c r="G161" s="958"/>
      <c r="H161" s="958"/>
      <c r="I161" s="958"/>
      <c r="J161" s="958"/>
      <c r="K161" s="958"/>
      <c r="L161" s="958"/>
      <c r="M161" s="958"/>
      <c r="N161" s="958"/>
      <c r="O161" s="958"/>
      <c r="P161" s="996"/>
      <c r="Q161" s="2"/>
      <c r="R161" s="10"/>
      <c r="S161" s="14"/>
      <c r="T161" s="96"/>
      <c r="U161" s="129"/>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3">
      <c r="A162" s="2"/>
      <c r="B162" s="792"/>
      <c r="C162" s="792"/>
      <c r="D162" s="792"/>
      <c r="E162" s="792"/>
      <c r="F162" s="792"/>
      <c r="G162" s="792"/>
      <c r="H162" s="792"/>
      <c r="I162" s="792"/>
      <c r="J162" s="792"/>
      <c r="K162" s="792"/>
      <c r="L162" s="792"/>
      <c r="M162" s="792"/>
      <c r="N162" s="792"/>
      <c r="O162" s="792"/>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3">
      <c r="A163" s="2"/>
      <c r="B163" s="792"/>
      <c r="C163" s="792"/>
      <c r="D163" s="792"/>
      <c r="E163" s="792"/>
      <c r="F163" s="792"/>
      <c r="G163" s="792"/>
      <c r="H163" s="792"/>
      <c r="I163" s="792"/>
      <c r="J163" s="792"/>
      <c r="K163" s="792"/>
      <c r="L163" s="792"/>
      <c r="M163" s="792"/>
      <c r="N163" s="792"/>
      <c r="O163" s="792"/>
      <c r="P163" s="792"/>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3">
      <c r="A164" s="2"/>
      <c r="B164" s="947" t="s">
        <v>870</v>
      </c>
      <c r="C164" s="878"/>
      <c r="D164" s="878"/>
      <c r="E164" s="878"/>
      <c r="F164" s="878"/>
      <c r="G164" s="878"/>
      <c r="H164" s="878"/>
      <c r="I164" s="878"/>
      <c r="J164" s="878"/>
      <c r="K164" s="878"/>
      <c r="L164" s="878"/>
      <c r="M164" s="878"/>
      <c r="N164" s="878"/>
      <c r="O164" s="878"/>
      <c r="P164" s="878"/>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3">
      <c r="A165" s="2"/>
      <c r="B165" s="925" t="s">
        <v>709</v>
      </c>
      <c r="C165" s="925"/>
      <c r="D165" s="925"/>
      <c r="E165" s="925"/>
      <c r="F165" s="925"/>
      <c r="G165" s="925"/>
      <c r="H165" s="925"/>
      <c r="I165" s="925"/>
      <c r="J165" s="925"/>
      <c r="K165" s="925"/>
      <c r="L165" s="925"/>
      <c r="M165" s="925"/>
      <c r="N165" s="925"/>
      <c r="O165" s="925"/>
      <c r="P165" s="925"/>
      <c r="Q165" s="2"/>
      <c r="R165" s="10"/>
      <c r="S165" s="10"/>
      <c r="T165" s="77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3">
      <c r="A166" s="2"/>
      <c r="B166" s="1014"/>
      <c r="C166" s="1014"/>
      <c r="D166" s="1014"/>
      <c r="E166" s="1014"/>
      <c r="F166" s="1014"/>
      <c r="G166" s="1014"/>
      <c r="H166" s="1014"/>
      <c r="I166" s="1014"/>
      <c r="J166" s="1014"/>
      <c r="K166" s="1014"/>
      <c r="L166" s="1014"/>
      <c r="M166" s="1014"/>
      <c r="N166" s="1014"/>
      <c r="O166" s="1014"/>
      <c r="P166" s="21">
        <f>SUMIF(U165:AO165,B166,U166:AO166)</f>
        <v>0</v>
      </c>
      <c r="Q166" s="2"/>
      <c r="R166" s="10"/>
      <c r="S166" s="10"/>
      <c r="T166" s="77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35">
      <c r="A167" s="2"/>
      <c r="B167" s="1244"/>
      <c r="C167" s="1244"/>
      <c r="D167" s="1244"/>
      <c r="E167" s="1244"/>
      <c r="F167" s="1244"/>
      <c r="G167" s="1244"/>
      <c r="H167" s="1244"/>
      <c r="I167" s="1244"/>
      <c r="J167" s="1244"/>
      <c r="K167" s="1244"/>
      <c r="L167" s="1244"/>
      <c r="M167" s="1244"/>
      <c r="N167" s="1244"/>
      <c r="O167" s="1244"/>
      <c r="P167" s="1244"/>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3">
      <c r="A168" s="2"/>
      <c r="B168" s="940" t="s">
        <v>871</v>
      </c>
      <c r="C168" s="941"/>
      <c r="D168" s="941"/>
      <c r="E168" s="941"/>
      <c r="F168" s="941"/>
      <c r="G168" s="941"/>
      <c r="H168" s="941"/>
      <c r="I168" s="941"/>
      <c r="J168" s="941"/>
      <c r="K168" s="941"/>
      <c r="L168" s="941"/>
      <c r="M168" s="941"/>
      <c r="N168" s="941"/>
      <c r="O168" s="941"/>
      <c r="P168" s="845"/>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3">
      <c r="A169" s="2"/>
      <c r="B169" s="285" t="s">
        <v>1545</v>
      </c>
      <c r="C169" s="1277"/>
      <c r="D169" s="1278"/>
      <c r="E169" s="1278"/>
      <c r="F169" s="1278"/>
      <c r="G169" s="1278"/>
      <c r="H169" s="1278"/>
      <c r="I169" s="1278"/>
      <c r="J169" s="1278"/>
      <c r="K169" s="1278"/>
      <c r="L169" s="1272"/>
      <c r="M169" s="1273"/>
      <c r="N169" s="1274"/>
      <c r="O169" s="67">
        <f>IF(C169=T169,0.45,IF(C169=U169,0.3,IF(C169=V169,0.45,0)))</f>
        <v>0</v>
      </c>
      <c r="P169" s="846"/>
      <c r="Q169" s="2"/>
      <c r="R169" s="947"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3">
      <c r="A170" s="2"/>
      <c r="B170" s="277" t="s">
        <v>1705</v>
      </c>
      <c r="C170" s="1260"/>
      <c r="D170" s="1269"/>
      <c r="E170" s="1269"/>
      <c r="F170" s="1269"/>
      <c r="G170" s="1269"/>
      <c r="H170" s="1269"/>
      <c r="I170" s="1269"/>
      <c r="J170" s="1269"/>
      <c r="K170" s="1269"/>
      <c r="L170" s="1019"/>
      <c r="M170" s="1020"/>
      <c r="N170" s="1021"/>
      <c r="O170" s="64">
        <f>IF(C170=T170,0.8,IF(C170=U170,0.45,IF(C170=V170,0.8,0)))</f>
        <v>0</v>
      </c>
      <c r="P170" s="846"/>
      <c r="Q170" s="2"/>
      <c r="R170" s="947"/>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3">
      <c r="A171" s="2"/>
      <c r="B171" s="1276"/>
      <c r="C171" s="1211"/>
      <c r="D171" s="1211"/>
      <c r="E171" s="1211"/>
      <c r="F171" s="1211"/>
      <c r="G171" s="1211"/>
      <c r="H171" s="1211"/>
      <c r="I171" s="1211"/>
      <c r="J171" s="1211"/>
      <c r="K171" s="1211"/>
      <c r="L171" s="1211"/>
      <c r="M171" s="1211"/>
      <c r="N171" s="1211"/>
      <c r="O171" s="1211"/>
      <c r="P171" s="846"/>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3">
      <c r="A172" s="2"/>
      <c r="B172" s="201"/>
      <c r="C172" s="940" t="s">
        <v>1595</v>
      </c>
      <c r="D172" s="941"/>
      <c r="E172" s="941"/>
      <c r="F172" s="941"/>
      <c r="G172" s="927" t="s">
        <v>1081</v>
      </c>
      <c r="H172" s="927"/>
      <c r="I172" s="927"/>
      <c r="J172" s="927"/>
      <c r="K172" s="927"/>
      <c r="L172" s="1098"/>
      <c r="M172" s="1102"/>
      <c r="N172" s="1102"/>
      <c r="O172" s="1102"/>
      <c r="P172" s="846"/>
      <c r="Q172" s="2"/>
      <c r="R172" s="2"/>
      <c r="S172" s="2"/>
      <c r="T172" s="927" t="s">
        <v>1257</v>
      </c>
      <c r="U172" s="927"/>
      <c r="V172" s="10"/>
      <c r="W172" s="10"/>
      <c r="X172" s="10"/>
      <c r="Y172" s="922" t="s">
        <v>2259</v>
      </c>
      <c r="Z172" s="926"/>
      <c r="AA172" s="923"/>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3">
      <c r="A173" s="2"/>
      <c r="B173" s="128" t="s">
        <v>1840</v>
      </c>
      <c r="C173" s="925" t="s">
        <v>365</v>
      </c>
      <c r="D173" s="925"/>
      <c r="E173" s="925" t="s">
        <v>1795</v>
      </c>
      <c r="F173" s="925"/>
      <c r="G173" s="845" t="s">
        <v>365</v>
      </c>
      <c r="H173" s="845"/>
      <c r="I173" s="845"/>
      <c r="J173" s="845" t="s">
        <v>1795</v>
      </c>
      <c r="K173" s="845"/>
      <c r="L173" s="961"/>
      <c r="M173" s="961"/>
      <c r="N173" s="961"/>
      <c r="O173" s="961"/>
      <c r="P173" s="846"/>
      <c r="Q173" s="2"/>
      <c r="S173" s="50" t="s">
        <v>1572</v>
      </c>
      <c r="T173" s="259" t="s">
        <v>1595</v>
      </c>
      <c r="U173" s="259" t="s">
        <v>1596</v>
      </c>
      <c r="V173" s="925" t="s">
        <v>1083</v>
      </c>
      <c r="W173" s="925"/>
      <c r="X173" s="2"/>
      <c r="Y173" s="18">
        <f>IF(OR(O169&gt;0,O170&gt;0,E175&gt;0,E177&gt;0),1,0)</f>
        <v>0</v>
      </c>
      <c r="Z173" s="641">
        <f>IF(AND(OR(O169&gt;0,O170&gt;0),OR(E174&gt;0,E176&gt;0),C179&gt;0),C179*O178,O178)</f>
        <v>0</v>
      </c>
      <c r="AA173" s="639">
        <f>IF(AND(Y173=0,C179&gt;0),C179*AB178,AB178)</f>
        <v>0</v>
      </c>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3">
      <c r="A174" s="2"/>
      <c r="B174" s="297" t="s">
        <v>1334</v>
      </c>
      <c r="C174" s="1018"/>
      <c r="D174" s="1018"/>
      <c r="E174" s="1202">
        <f>LETable!AJ30</f>
        <v>0</v>
      </c>
      <c r="F174" s="1202"/>
      <c r="G174" s="708"/>
      <c r="H174" s="708"/>
      <c r="I174" s="708"/>
      <c r="J174" s="1206">
        <f>IF(C174="",0,IF(OR(C174&lt;=0,G174&lt;=0),E174,IF(G174&lt;C174,0,LETable!AO30)))</f>
        <v>0</v>
      </c>
      <c r="K174" s="1206"/>
      <c r="L174" s="1256" t="str">
        <f>IF(OR(C174="NA",G174="NA"),"",IF(AND(C174&lt;&gt;"",G174=""),"Enter contralateral or NA.",IF(AND(C174="",G174&lt;&gt;""),"Need data","")))</f>
        <v/>
      </c>
      <c r="M174" s="1256"/>
      <c r="N174" s="1256"/>
      <c r="O174" s="1257"/>
      <c r="P174" s="846"/>
      <c r="Q174" s="2"/>
      <c r="R174" s="10"/>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3">
      <c r="A175" s="2"/>
      <c r="B175" s="297" t="s">
        <v>1335</v>
      </c>
      <c r="C175" s="1268"/>
      <c r="D175" s="1268"/>
      <c r="E175" s="1202">
        <f>IF(AND(C175&lt;&gt;"",C175&lt;&gt;"NA",C174&lt;&gt;"NA",C174&lt;&gt;""),"ERROR",IF(AND(C175&lt;&gt;"",C175&lt;&gt;"NA",C176&lt;&gt;"",C176&lt;&gt;"NA"),"ERROR",LETable!AJ31))</f>
        <v>0</v>
      </c>
      <c r="F175" s="1202"/>
      <c r="G175" s="946" t="str">
        <f>IF(E175="ERROR","Error: Cannot rate ROM and ankylosis.","")</f>
        <v/>
      </c>
      <c r="H175" s="946"/>
      <c r="I175" s="946"/>
      <c r="J175" s="946"/>
      <c r="K175" s="946"/>
      <c r="L175" s="946"/>
      <c r="M175" s="946"/>
      <c r="N175" s="946"/>
      <c r="O175" s="1073"/>
      <c r="P175" s="846"/>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3">
      <c r="A176" s="2"/>
      <c r="B176" s="128" t="s">
        <v>1255</v>
      </c>
      <c r="C176" s="1268"/>
      <c r="D176" s="1268"/>
      <c r="E176" s="1202">
        <f>LETable!AJ32</f>
        <v>0</v>
      </c>
      <c r="F176" s="1202"/>
      <c r="G176" s="708"/>
      <c r="H176" s="708"/>
      <c r="I176" s="708"/>
      <c r="J176" s="1206">
        <f>IF(C176="",0,IF(OR(C176&lt;=0,G176&lt;=0),E176,IF(G176&lt;C176,0,LETable!AO32)))</f>
        <v>0</v>
      </c>
      <c r="K176" s="1206"/>
      <c r="L176" s="1256" t="str">
        <f>IF(OR(C176="NA",G176="NA"),"",IF(AND(C176&lt;&gt;"",G176=""),"Enter contralateral or NA.",IF(AND(C176="",G176&lt;&gt;""),"Need data","")))</f>
        <v/>
      </c>
      <c r="M176" s="1256"/>
      <c r="N176" s="1256"/>
      <c r="O176" s="1257"/>
      <c r="P176" s="846"/>
      <c r="Q176" s="2"/>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3">
      <c r="A177" s="2"/>
      <c r="B177" s="296" t="s">
        <v>1839</v>
      </c>
      <c r="C177" s="1260"/>
      <c r="D177" s="1261"/>
      <c r="E177" s="1202">
        <f>IF(AND(C177&lt;&gt;"",C177&lt;&gt;"NA",C176&lt;&gt;"NA",C176&lt;&gt;""),"ERROR",IF(AND(C177&lt;&gt;"",C177&lt;&gt;"NA",C174&lt;&gt;"",C174&lt;&gt;"NA"),"ERROR",LETable!AJ33))</f>
        <v>0</v>
      </c>
      <c r="F177" s="1202"/>
      <c r="G177" s="1203" t="str">
        <f>IF(E177="ERROR","Error: Cannot rate ROM and ankylosis.",IF(AND(C175&lt;&gt;"",C175&lt;&gt;"NA",C177&lt;&gt;"",C177&lt;&gt;"NA"),"Multiple ankylosis values; use higher value only.",""))</f>
        <v/>
      </c>
      <c r="H177" s="1204"/>
      <c r="I177" s="1204"/>
      <c r="J177" s="1204"/>
      <c r="K177" s="1204"/>
      <c r="L177" s="1204"/>
      <c r="M177" s="1204"/>
      <c r="N177" s="1204"/>
      <c r="O177" s="1205"/>
      <c r="P177" s="846"/>
      <c r="Q177" s="2"/>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3">
      <c r="A178" s="2"/>
      <c r="B178" s="636"/>
      <c r="C178" s="637"/>
      <c r="D178" s="637"/>
      <c r="E178" s="998" t="str">
        <f>IF(AND(OR(O169&gt;0,O170&gt;0,E175&gt;0,E177&gt;0),C179&gt;0),"Note: Ankylosis impairment is not apportioned.","")</f>
        <v/>
      </c>
      <c r="F178" s="999"/>
      <c r="G178" s="999"/>
      <c r="H178" s="999"/>
      <c r="I178" s="999"/>
      <c r="J178" s="1000"/>
      <c r="K178" s="1099" t="s">
        <v>1841</v>
      </c>
      <c r="L178" s="1100"/>
      <c r="M178" s="1100"/>
      <c r="N178" s="1101"/>
      <c r="O178" s="59">
        <f>IF(OR(E175="ERROR",E177="ERROR"),"ERROR",IF(R178&gt;1,1,R178))</f>
        <v>0</v>
      </c>
      <c r="P178" s="847"/>
      <c r="Q178" s="2"/>
      <c r="R178" s="193">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3">
      <c r="A179" s="2"/>
      <c r="B179" s="13" t="s">
        <v>2255</v>
      </c>
      <c r="C179" s="935"/>
      <c r="D179" s="960"/>
      <c r="E179" s="975"/>
      <c r="F179" s="976"/>
      <c r="G179" s="976"/>
      <c r="H179" s="976"/>
      <c r="I179" s="976"/>
      <c r="J179" s="977"/>
      <c r="K179" s="1099" t="s">
        <v>436</v>
      </c>
      <c r="L179" s="1100"/>
      <c r="M179" s="1100"/>
      <c r="N179" s="1100"/>
      <c r="O179" s="1101"/>
      <c r="P179" s="248">
        <f>IF(O178="ERROR","ERROR",IF(AND(AA173&gt;0,AA173&lt;0.01),0.01,ROUND(AA173,2)))</f>
        <v>0</v>
      </c>
      <c r="Q179" s="2"/>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3">
      <c r="A180" s="2"/>
      <c r="B180" s="1211"/>
      <c r="C180" s="1211"/>
      <c r="D180" s="1211"/>
      <c r="E180" s="1211"/>
      <c r="F180" s="1211"/>
      <c r="G180" s="1211"/>
      <c r="H180" s="1211"/>
      <c r="I180" s="1211"/>
      <c r="J180" s="1211"/>
      <c r="K180" s="1211"/>
      <c r="L180" s="1211"/>
      <c r="M180" s="1211"/>
      <c r="N180" s="1211"/>
      <c r="O180" s="1211"/>
      <c r="P180" s="384"/>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3">
      <c r="A181" s="2"/>
      <c r="B181" s="940" t="s">
        <v>1998</v>
      </c>
      <c r="C181" s="941"/>
      <c r="D181" s="941"/>
      <c r="E181" s="941"/>
      <c r="F181" s="941"/>
      <c r="G181" s="941"/>
      <c r="H181" s="941"/>
      <c r="I181" s="941"/>
      <c r="J181" s="941"/>
      <c r="K181" s="941"/>
      <c r="L181" s="941"/>
      <c r="M181" s="941"/>
      <c r="N181" s="941"/>
      <c r="O181" s="941"/>
      <c r="P181" s="385"/>
      <c r="Q181" s="2"/>
      <c r="R181" s="10"/>
      <c r="S181" s="878" t="s">
        <v>2196</v>
      </c>
      <c r="T181" s="878"/>
      <c r="U181" s="878"/>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3">
      <c r="A182" s="2"/>
      <c r="B182" s="308" t="s">
        <v>2011</v>
      </c>
      <c r="C182" s="933"/>
      <c r="D182" s="933"/>
      <c r="E182" s="933"/>
      <c r="F182" s="933"/>
      <c r="G182" s="933"/>
      <c r="H182" s="933"/>
      <c r="I182" s="933"/>
      <c r="J182" s="933"/>
      <c r="K182" s="933"/>
      <c r="L182" s="933"/>
      <c r="M182" s="933"/>
      <c r="N182" s="933"/>
      <c r="O182" s="71"/>
      <c r="P182" s="21">
        <f>IF($W$239&gt;0,0,R182)</f>
        <v>0</v>
      </c>
      <c r="Q182" s="2"/>
      <c r="R182" s="147">
        <f>IF(C182=S182,0,IF(C182=T182,0.05,IF(C182=U182,0.1,0)))</f>
        <v>0</v>
      </c>
      <c r="S182" s="50" t="s">
        <v>1941</v>
      </c>
      <c r="T182" s="50" t="s">
        <v>1784</v>
      </c>
      <c r="U182" s="50" t="s">
        <v>1785</v>
      </c>
      <c r="V182" s="97"/>
      <c r="W182" s="96"/>
      <c r="X182" s="133"/>
      <c r="Y182" s="1262"/>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3">
      <c r="A183" s="2"/>
      <c r="B183" s="308" t="s">
        <v>2012</v>
      </c>
      <c r="C183" s="933"/>
      <c r="D183" s="933"/>
      <c r="E183" s="933"/>
      <c r="F183" s="933"/>
      <c r="G183" s="933"/>
      <c r="H183" s="933"/>
      <c r="I183" s="933"/>
      <c r="J183" s="933"/>
      <c r="K183" s="933"/>
      <c r="L183" s="933"/>
      <c r="M183" s="933"/>
      <c r="N183" s="933"/>
      <c r="O183" s="71"/>
      <c r="P183" s="21">
        <f>IF($W$239&gt;0,0,R183)</f>
        <v>0</v>
      </c>
      <c r="Q183" s="2"/>
      <c r="R183" s="147">
        <f>IF(C183=S183,0,IF(C183=T183,0.05,IF(C183=U183,0.1,0)))</f>
        <v>0</v>
      </c>
      <c r="S183" s="50" t="s">
        <v>1941</v>
      </c>
      <c r="T183" s="50" t="s">
        <v>1996</v>
      </c>
      <c r="U183" s="50" t="s">
        <v>1997</v>
      </c>
      <c r="V183" s="97"/>
      <c r="W183" s="96"/>
      <c r="X183" s="133"/>
      <c r="Y183" s="1262"/>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3">
      <c r="A184" s="2"/>
      <c r="B184" s="1056" t="str">
        <f>IF(AND(OR(R182&gt;0,R183&gt;0),$W$239&gt;0),"A value has been given for loss of sensation or hypersensitivity in the foot. No additional value is allowed for the toes.","")</f>
        <v/>
      </c>
      <c r="C184" s="1056"/>
      <c r="D184" s="1056"/>
      <c r="E184" s="1056"/>
      <c r="F184" s="1056"/>
      <c r="G184" s="1056"/>
      <c r="H184" s="1056"/>
      <c r="I184" s="1056"/>
      <c r="J184" s="1056"/>
      <c r="K184" s="1056"/>
      <c r="L184" s="1056"/>
      <c r="M184" s="1056"/>
      <c r="N184" s="1056"/>
      <c r="O184" s="1056"/>
      <c r="P184" s="529"/>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3">
      <c r="A185" s="2"/>
      <c r="B185" s="712"/>
      <c r="C185" s="792"/>
      <c r="D185" s="792"/>
      <c r="E185" s="792"/>
      <c r="F185" s="792"/>
      <c r="G185" s="792"/>
      <c r="H185" s="792"/>
      <c r="I185" s="792"/>
      <c r="J185" s="792"/>
      <c r="K185" s="792"/>
      <c r="L185" s="792"/>
      <c r="M185" s="792"/>
      <c r="N185" s="792"/>
      <c r="O185" s="792"/>
      <c r="P185" s="63"/>
      <c r="Q185" s="2"/>
      <c r="R185" s="10"/>
      <c r="S185" s="10"/>
      <c r="Y185" s="10"/>
      <c r="Z185" s="739"/>
      <c r="AA185" s="739"/>
      <c r="AB185" s="739"/>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3">
      <c r="A186" s="2"/>
      <c r="B186" s="776" t="s">
        <v>2015</v>
      </c>
      <c r="C186" s="776"/>
      <c r="D186" s="776"/>
      <c r="E186" s="776"/>
      <c r="F186" s="776"/>
      <c r="G186" s="776"/>
      <c r="H186" s="776"/>
      <c r="I186" s="776"/>
      <c r="J186" s="776"/>
      <c r="K186" s="776"/>
      <c r="L186" s="776"/>
      <c r="M186" s="776"/>
      <c r="N186" s="708"/>
      <c r="O186" s="708"/>
      <c r="P186" s="21">
        <f>IF(N186=T186,0.03,IF(N186=U186,0.15,IF(N186=V186,0.38,IF(N186=W186,0.68,IF(N186=X186,0.9,0)))))</f>
        <v>0</v>
      </c>
      <c r="Q186" s="2"/>
      <c r="R186" s="878" t="s">
        <v>2196</v>
      </c>
      <c r="S186" s="878"/>
      <c r="T186" s="50" t="s">
        <v>1968</v>
      </c>
      <c r="U186" s="50" t="s">
        <v>1969</v>
      </c>
      <c r="V186" s="147" t="s">
        <v>1971</v>
      </c>
      <c r="W186" s="50" t="s">
        <v>945</v>
      </c>
      <c r="X186" s="147" t="s">
        <v>558</v>
      </c>
      <c r="Y186" s="10"/>
      <c r="Z186" s="739"/>
      <c r="AA186" s="739"/>
      <c r="AB186" s="739"/>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3">
      <c r="A187" s="2"/>
      <c r="B187" s="527"/>
      <c r="C187" s="527"/>
      <c r="D187" s="527"/>
      <c r="E187" s="527"/>
      <c r="F187" s="527"/>
      <c r="G187" s="527"/>
      <c r="H187" s="527"/>
      <c r="I187" s="527"/>
      <c r="J187" s="527"/>
      <c r="K187" s="527"/>
      <c r="L187" s="527"/>
      <c r="M187" s="527"/>
      <c r="N187" s="527"/>
      <c r="O187" s="527"/>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3">
      <c r="A188" s="15"/>
      <c r="B188" s="259" t="s">
        <v>1708</v>
      </c>
      <c r="C188" s="1083"/>
      <c r="D188" s="1022"/>
      <c r="E188" s="757" t="s">
        <v>1709</v>
      </c>
      <c r="F188" s="758"/>
      <c r="G188" s="758"/>
      <c r="H188" s="758"/>
      <c r="I188" s="758"/>
      <c r="J188" s="758"/>
      <c r="K188" s="758"/>
      <c r="L188" s="758"/>
      <c r="M188" s="758"/>
      <c r="N188" s="758"/>
      <c r="O188" s="759"/>
      <c r="P188" s="248">
        <f>IF(T188=1,0.15,0)</f>
        <v>0</v>
      </c>
      <c r="Q188" s="2"/>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3">
      <c r="A189" s="2"/>
      <c r="B189" s="259" t="s">
        <v>1710</v>
      </c>
      <c r="C189" s="1083"/>
      <c r="D189" s="1022"/>
      <c r="E189" s="757" t="s">
        <v>1711</v>
      </c>
      <c r="F189" s="758"/>
      <c r="G189" s="758"/>
      <c r="H189" s="758"/>
      <c r="I189" s="758"/>
      <c r="J189" s="758"/>
      <c r="K189" s="758"/>
      <c r="L189" s="758"/>
      <c r="M189" s="758"/>
      <c r="N189" s="758"/>
      <c r="O189" s="759"/>
      <c r="P189" s="248">
        <f>IF(T189=1,0.25,0)</f>
        <v>0</v>
      </c>
      <c r="Q189" s="2"/>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3">
      <c r="A190" s="2"/>
      <c r="B190" s="386" t="s">
        <v>626</v>
      </c>
      <c r="C190" s="1025"/>
      <c r="D190" s="1025"/>
      <c r="E190" s="937" t="s">
        <v>627</v>
      </c>
      <c r="F190" s="938"/>
      <c r="G190" s="938"/>
      <c r="H190" s="938"/>
      <c r="I190" s="938"/>
      <c r="J190" s="938"/>
      <c r="K190" s="938"/>
      <c r="L190" s="938"/>
      <c r="M190" s="938"/>
      <c r="N190" s="938"/>
      <c r="O190" s="939"/>
      <c r="P190" s="278">
        <f>IF(T190=1,0.25,0)</f>
        <v>0</v>
      </c>
      <c r="Q190" s="2"/>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3">
      <c r="A191" s="2"/>
      <c r="B191" s="1212"/>
      <c r="C191" s="1212"/>
      <c r="D191" s="1212"/>
      <c r="E191" s="1212"/>
      <c r="F191" s="1212"/>
      <c r="G191" s="1212"/>
      <c r="H191" s="1212"/>
      <c r="I191" s="1212"/>
      <c r="J191" s="1212"/>
      <c r="K191" s="1212"/>
      <c r="L191" s="1212"/>
      <c r="M191" s="1212"/>
      <c r="N191" s="1212"/>
      <c r="O191" s="1212"/>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3">
      <c r="A192" s="2"/>
      <c r="B192" s="756" t="s">
        <v>1144</v>
      </c>
      <c r="C192" s="756"/>
      <c r="D192" s="756"/>
      <c r="E192" s="756"/>
      <c r="F192" s="756"/>
      <c r="G192" s="927" t="s">
        <v>1524</v>
      </c>
      <c r="H192" s="925"/>
      <c r="I192" s="925"/>
      <c r="J192" s="925"/>
      <c r="K192" s="925"/>
      <c r="L192" s="1215"/>
      <c r="M192" s="1216"/>
      <c r="N192" s="1216"/>
      <c r="O192" s="1217"/>
      <c r="P192" s="872">
        <f>IF(J201&gt;0,J201,V199)</f>
        <v>0</v>
      </c>
      <c r="Q192" s="2"/>
      <c r="R192" s="10"/>
      <c r="S192" s="50" t="s">
        <v>1864</v>
      </c>
      <c r="T192" s="50" t="s">
        <v>1304</v>
      </c>
      <c r="U192" s="50" t="s">
        <v>1305</v>
      </c>
      <c r="V192" s="50" t="s">
        <v>1306</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3">
      <c r="A193" s="2"/>
      <c r="B193" s="806" t="s">
        <v>628</v>
      </c>
      <c r="C193" s="806"/>
      <c r="D193" s="806"/>
      <c r="E193" s="770">
        <f>P166</f>
        <v>0</v>
      </c>
      <c r="F193" s="746"/>
      <c r="G193" s="925" t="s">
        <v>1941</v>
      </c>
      <c r="H193" s="925"/>
      <c r="I193" s="925"/>
      <c r="J193" s="1284"/>
      <c r="K193" s="1284"/>
      <c r="L193" s="1215"/>
      <c r="M193" s="1216"/>
      <c r="N193" s="1216"/>
      <c r="O193" s="1217"/>
      <c r="P193" s="1010"/>
      <c r="Q193" s="2"/>
      <c r="R193" s="10"/>
      <c r="S193" s="557">
        <f>E193</f>
        <v>0</v>
      </c>
      <c r="T193" s="147">
        <f>LARGE($S$193:$S$200,1)</f>
        <v>0</v>
      </c>
      <c r="U193" s="553">
        <f>T193+T194*(1-T193)</f>
        <v>0</v>
      </c>
      <c r="V193" s="557">
        <f t="shared" ref="V193:V199" si="11">ROUND(U193,2)</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3">
      <c r="A194" s="2"/>
      <c r="B194" s="806" t="s">
        <v>1958</v>
      </c>
      <c r="C194" s="806"/>
      <c r="D194" s="806"/>
      <c r="E194" s="770">
        <f>IF(P427&gt;0,0,P179)</f>
        <v>0</v>
      </c>
      <c r="F194" s="746"/>
      <c r="G194" s="1115" t="s">
        <v>2256</v>
      </c>
      <c r="H194" s="1177"/>
      <c r="I194" s="1116"/>
      <c r="J194" s="925"/>
      <c r="K194" s="925"/>
      <c r="L194" s="1128"/>
      <c r="M194" s="1129"/>
      <c r="N194" s="1129"/>
      <c r="O194" s="1130"/>
      <c r="P194" s="1010"/>
      <c r="Q194" s="2"/>
      <c r="R194" s="10"/>
      <c r="S194" s="147">
        <f>IF(J194&gt;0,J194,E194)</f>
        <v>0</v>
      </c>
      <c r="T194" s="147">
        <f>LARGE($S$193:$S$200,2)</f>
        <v>0</v>
      </c>
      <c r="U194" s="553">
        <f t="shared" ref="U194:U199" si="12">V193+T195*(1-V193)</f>
        <v>0</v>
      </c>
      <c r="V194" s="557">
        <f t="shared" si="11"/>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3">
      <c r="A195" s="2"/>
      <c r="B195" s="806" t="s">
        <v>2016</v>
      </c>
      <c r="C195" s="806"/>
      <c r="D195" s="806"/>
      <c r="E195" s="770">
        <f>P182</f>
        <v>0</v>
      </c>
      <c r="F195" s="746"/>
      <c r="G195" s="1028"/>
      <c r="H195" s="1028"/>
      <c r="I195" s="1028"/>
      <c r="J195" s="1288">
        <f>IF(AND(W195&lt;0.01,W195&gt;0),0.01,ROUND(W195,2))</f>
        <v>0</v>
      </c>
      <c r="K195" s="1288"/>
      <c r="L195" s="633"/>
      <c r="M195" s="634"/>
      <c r="N195" s="634"/>
      <c r="O195" s="635"/>
      <c r="P195" s="1010"/>
      <c r="Q195" s="2"/>
      <c r="R195" s="10"/>
      <c r="S195" s="147">
        <f>IF(J195&gt;0,J195,E195)</f>
        <v>0</v>
      </c>
      <c r="T195" s="147">
        <f>LARGE($S$193:$S$200,3)</f>
        <v>0</v>
      </c>
      <c r="U195" s="553">
        <f t="shared" si="12"/>
        <v>0</v>
      </c>
      <c r="V195" s="557">
        <f t="shared" si="11"/>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3">
      <c r="A196" s="2"/>
      <c r="B196" s="757" t="s">
        <v>1226</v>
      </c>
      <c r="C196" s="758"/>
      <c r="D196" s="759"/>
      <c r="E196" s="770">
        <f>P183</f>
        <v>0</v>
      </c>
      <c r="F196" s="746"/>
      <c r="G196" s="1028"/>
      <c r="H196" s="1028"/>
      <c r="I196" s="1028"/>
      <c r="J196" s="1288">
        <f>IF(AND(W196&lt;0.01,W196&gt;0),0.01,ROUND(W196,2))</f>
        <v>0</v>
      </c>
      <c r="K196" s="1288"/>
      <c r="L196" s="633"/>
      <c r="M196" s="634"/>
      <c r="N196" s="634"/>
      <c r="O196" s="635"/>
      <c r="P196" s="1010"/>
      <c r="Q196" s="2"/>
      <c r="R196" s="10"/>
      <c r="S196" s="147">
        <f>IF(J196&gt;0,J196,E196)</f>
        <v>0</v>
      </c>
      <c r="T196" s="147">
        <f>LARGE($S$193:$S$200,4)</f>
        <v>0</v>
      </c>
      <c r="U196" s="553">
        <f t="shared" si="12"/>
        <v>0</v>
      </c>
      <c r="V196" s="557">
        <f t="shared" si="11"/>
        <v>0</v>
      </c>
      <c r="W196" s="21">
        <f t="shared" ref="W196:W197" si="13">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3">
      <c r="A197" s="2"/>
      <c r="B197" s="757" t="s">
        <v>1446</v>
      </c>
      <c r="C197" s="758"/>
      <c r="D197" s="759"/>
      <c r="E197" s="742">
        <f>P186</f>
        <v>0</v>
      </c>
      <c r="F197" s="744"/>
      <c r="G197" s="1028"/>
      <c r="H197" s="1028"/>
      <c r="I197" s="1028"/>
      <c r="J197" s="1288">
        <f>IF(AND(W197&lt;0.01,W197&gt;0),0.01,ROUND(W197,2))</f>
        <v>0</v>
      </c>
      <c r="K197" s="1288"/>
      <c r="L197" s="972" t="str">
        <f>IF(AND(P179&gt;0,$P$427&gt;0),"The worker has motor loss impairment. No additional impairment value is allowed for reduced range of motion in the same extremity.","")</f>
        <v/>
      </c>
      <c r="M197" s="973"/>
      <c r="N197" s="973"/>
      <c r="O197" s="974"/>
      <c r="P197" s="1010"/>
      <c r="Q197" s="2"/>
      <c r="R197" s="10"/>
      <c r="S197" s="147">
        <f>IF(J197&gt;0,J197,E197)</f>
        <v>0</v>
      </c>
      <c r="T197" s="147">
        <f>LARGE($S$193:$S$200,5)</f>
        <v>0</v>
      </c>
      <c r="U197" s="553">
        <f t="shared" si="12"/>
        <v>0</v>
      </c>
      <c r="V197" s="557">
        <f t="shared" si="11"/>
        <v>0</v>
      </c>
      <c r="W197" s="21">
        <f t="shared" si="13"/>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3">
      <c r="A198" s="2"/>
      <c r="B198" s="806" t="s">
        <v>1712</v>
      </c>
      <c r="C198" s="806"/>
      <c r="D198" s="806"/>
      <c r="E198" s="770">
        <f>P188</f>
        <v>0</v>
      </c>
      <c r="F198" s="746"/>
      <c r="G198" s="925" t="s">
        <v>1941</v>
      </c>
      <c r="H198" s="925"/>
      <c r="I198" s="925"/>
      <c r="J198" s="925"/>
      <c r="K198" s="925"/>
      <c r="L198" s="972"/>
      <c r="M198" s="973"/>
      <c r="N198" s="973"/>
      <c r="O198" s="974"/>
      <c r="P198" s="1010"/>
      <c r="Q198" s="2"/>
      <c r="R198" s="10"/>
      <c r="S198" s="557">
        <f>E198</f>
        <v>0</v>
      </c>
      <c r="T198" s="147">
        <f>LARGE($S$193:$S$200,6)</f>
        <v>0</v>
      </c>
      <c r="U198" s="553">
        <f t="shared" si="12"/>
        <v>0</v>
      </c>
      <c r="V198" s="557">
        <f t="shared" si="11"/>
        <v>0</v>
      </c>
      <c r="W198" s="10"/>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3">
      <c r="A199" s="2"/>
      <c r="B199" s="806" t="s">
        <v>1713</v>
      </c>
      <c r="C199" s="806"/>
      <c r="D199" s="806"/>
      <c r="E199" s="770">
        <f>P189</f>
        <v>0</v>
      </c>
      <c r="F199" s="770"/>
      <c r="G199" s="925" t="s">
        <v>1941</v>
      </c>
      <c r="H199" s="925"/>
      <c r="I199" s="925"/>
      <c r="J199" s="925"/>
      <c r="K199" s="925"/>
      <c r="L199" s="972"/>
      <c r="M199" s="973"/>
      <c r="N199" s="973"/>
      <c r="O199" s="974"/>
      <c r="P199" s="1010"/>
      <c r="Q199" s="2"/>
      <c r="R199" s="10"/>
      <c r="S199" s="557">
        <f>E199</f>
        <v>0</v>
      </c>
      <c r="T199" s="147">
        <f>LARGE($S$193:$S$200,7)</f>
        <v>0</v>
      </c>
      <c r="U199" s="553">
        <f t="shared" si="12"/>
        <v>0</v>
      </c>
      <c r="V199" s="557">
        <f t="shared" si="11"/>
        <v>0</v>
      </c>
      <c r="W199" s="10"/>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3">
      <c r="A200" s="2"/>
      <c r="B200" s="804" t="s">
        <v>1128</v>
      </c>
      <c r="C200" s="804"/>
      <c r="D200" s="804"/>
      <c r="E200" s="1015">
        <f>P190</f>
        <v>0</v>
      </c>
      <c r="F200" s="1015"/>
      <c r="G200" s="845" t="s">
        <v>1941</v>
      </c>
      <c r="H200" s="845"/>
      <c r="I200" s="845"/>
      <c r="J200" s="845"/>
      <c r="K200" s="845"/>
      <c r="L200" s="972"/>
      <c r="M200" s="973"/>
      <c r="N200" s="973"/>
      <c r="O200" s="974"/>
      <c r="P200" s="1010"/>
      <c r="Q200" s="2"/>
      <c r="R200" s="10"/>
      <c r="S200" s="557">
        <f>E200</f>
        <v>0</v>
      </c>
      <c r="T200" s="147">
        <f>LARGE($S$193:$S$200,8)</f>
        <v>0</v>
      </c>
      <c r="U200" s="96"/>
      <c r="V200" s="129"/>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3">
      <c r="A201" s="2"/>
      <c r="B201" s="958" t="s">
        <v>1145</v>
      </c>
      <c r="C201" s="958"/>
      <c r="D201" s="958"/>
      <c r="E201" s="958"/>
      <c r="F201" s="958"/>
      <c r="G201" s="958"/>
      <c r="H201" s="958"/>
      <c r="I201" s="958"/>
      <c r="J201" s="958"/>
      <c r="K201" s="958"/>
      <c r="L201" s="958"/>
      <c r="M201" s="958"/>
      <c r="N201" s="958"/>
      <c r="O201" s="958"/>
      <c r="P201" s="996"/>
      <c r="Q201" s="2"/>
      <c r="R201" s="10"/>
      <c r="S201" s="14"/>
      <c r="T201" s="96"/>
      <c r="U201" s="129"/>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35">
      <c r="A202" s="2"/>
      <c r="B202" s="1211"/>
      <c r="C202" s="1211"/>
      <c r="D202" s="1211"/>
      <c r="E202" s="1211"/>
      <c r="F202" s="1211"/>
      <c r="G202" s="1211"/>
      <c r="H202" s="1211"/>
      <c r="I202" s="1211"/>
      <c r="J202" s="1211"/>
      <c r="K202" s="1211"/>
      <c r="L202" s="1211"/>
      <c r="M202" s="1211"/>
      <c r="N202" s="1211"/>
      <c r="O202" s="1211"/>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35">
      <c r="A203" s="2"/>
      <c r="B203" s="1211"/>
      <c r="C203" s="1211"/>
      <c r="D203" s="1211"/>
      <c r="E203" s="1211"/>
      <c r="F203" s="1211"/>
      <c r="G203" s="1211"/>
      <c r="H203" s="1211"/>
      <c r="I203" s="1211"/>
      <c r="J203" s="1211"/>
      <c r="K203" s="1211"/>
      <c r="L203" s="1211"/>
      <c r="M203" s="1211"/>
      <c r="N203" s="1211"/>
      <c r="O203" s="1211"/>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3">
      <c r="A204" s="2"/>
      <c r="B204" s="910" t="s">
        <v>1146</v>
      </c>
      <c r="C204" s="908"/>
      <c r="D204" s="908"/>
      <c r="E204" s="908"/>
      <c r="F204" s="908"/>
      <c r="G204" s="908"/>
      <c r="H204" s="908"/>
      <c r="I204" s="908"/>
      <c r="J204" s="908"/>
      <c r="K204" s="908"/>
      <c r="L204" s="908"/>
      <c r="M204" s="908"/>
      <c r="N204" s="908"/>
      <c r="O204" s="908"/>
      <c r="P204" s="909"/>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4">
      <c r="A205" s="2"/>
      <c r="B205" s="1242"/>
      <c r="C205" s="1242"/>
      <c r="D205" s="1242"/>
      <c r="E205" s="1242"/>
      <c r="F205" s="1242"/>
      <c r="G205" s="1242"/>
      <c r="H205" s="1242"/>
      <c r="I205" s="1242"/>
      <c r="J205" s="1242"/>
      <c r="K205" s="1242"/>
      <c r="L205" s="1242"/>
      <c r="M205" s="1242"/>
      <c r="N205" s="1242"/>
      <c r="O205" s="1242"/>
      <c r="P205" s="387"/>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3">
      <c r="A206" s="2"/>
      <c r="B206" s="940" t="s">
        <v>1147</v>
      </c>
      <c r="C206" s="941"/>
      <c r="D206" s="941"/>
      <c r="E206" s="941"/>
      <c r="F206" s="941"/>
      <c r="G206" s="941"/>
      <c r="H206" s="941"/>
      <c r="I206" s="941"/>
      <c r="J206" s="941"/>
      <c r="K206" s="941"/>
      <c r="L206" s="941"/>
      <c r="M206" s="941"/>
      <c r="N206" s="941"/>
      <c r="O206" s="942"/>
      <c r="P206" s="388"/>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3">
      <c r="A207" s="15"/>
      <c r="B207" s="1293"/>
      <c r="C207" s="1293"/>
      <c r="D207" s="1293"/>
      <c r="E207" s="1293"/>
      <c r="F207" s="1293"/>
      <c r="G207" s="1293"/>
      <c r="H207" s="1293"/>
      <c r="I207" s="1293"/>
      <c r="J207" s="1293"/>
      <c r="K207" s="1293"/>
      <c r="L207" s="1293"/>
      <c r="M207" s="1293"/>
      <c r="N207" s="1293"/>
      <c r="O207" s="1281"/>
      <c r="P207" s="21">
        <f>IF(B207=S207,1,IF(B207=T207,0.75,IF(B207=U207,0.5,0)))</f>
        <v>0</v>
      </c>
      <c r="Q207" s="2"/>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3">
      <c r="A208" s="15"/>
      <c r="B208" s="757" t="s">
        <v>1622</v>
      </c>
      <c r="C208" s="758"/>
      <c r="D208" s="758"/>
      <c r="E208" s="759"/>
      <c r="F208" s="1083"/>
      <c r="G208" s="1022"/>
      <c r="H208" s="806" t="s">
        <v>1623</v>
      </c>
      <c r="I208" s="806"/>
      <c r="J208" s="806"/>
      <c r="K208" s="806"/>
      <c r="L208" s="806"/>
      <c r="M208" s="806"/>
      <c r="N208" s="806"/>
      <c r="O208" s="806"/>
      <c r="P208" s="21">
        <f>IF($P$207&gt;0,0,IF(S208=1,0.1,0))</f>
        <v>0</v>
      </c>
      <c r="Q208" s="2"/>
      <c r="R208" s="555" t="b">
        <v>0</v>
      </c>
      <c r="S208" s="578">
        <f>IF(R208=TRUE,1,0)</f>
        <v>0</v>
      </c>
      <c r="T208" s="10"/>
      <c r="U208" s="10"/>
      <c r="V208" s="10"/>
      <c r="W208" s="10">
        <v>1E-4</v>
      </c>
      <c r="X208" s="10"/>
      <c r="Y208" s="135"/>
      <c r="Z208" s="739"/>
      <c r="AA208" s="739"/>
      <c r="AB208" s="739"/>
      <c r="AC208" s="10"/>
      <c r="AD208" s="10"/>
      <c r="AE208" s="10"/>
      <c r="AF208" s="10"/>
      <c r="AG208" s="10"/>
      <c r="AH208" s="10"/>
      <c r="AI208" s="94"/>
      <c r="AJ208" s="739"/>
      <c r="AK208" s="739"/>
      <c r="AL208" s="739"/>
      <c r="AM208" s="739"/>
      <c r="AN208" s="739"/>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3">
      <c r="A209" s="2"/>
      <c r="B209" s="1248"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49"/>
      <c r="D209" s="1249"/>
      <c r="E209" s="1250"/>
      <c r="F209" s="1083"/>
      <c r="G209" s="1022"/>
      <c r="H209" s="806" t="s">
        <v>351</v>
      </c>
      <c r="I209" s="806"/>
      <c r="J209" s="806"/>
      <c r="K209" s="806"/>
      <c r="L209" s="806"/>
      <c r="M209" s="806"/>
      <c r="N209" s="806"/>
      <c r="O209" s="806"/>
      <c r="P209" s="21">
        <f>IF($P$207&gt;0,0,IF(S209=1,0.1,0))</f>
        <v>0</v>
      </c>
      <c r="Q209" s="2"/>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3">
      <c r="A210" s="2"/>
      <c r="B210" s="1248"/>
      <c r="C210" s="1249"/>
      <c r="D210" s="1249"/>
      <c r="E210" s="1250"/>
      <c r="F210" s="1083"/>
      <c r="G210" s="1022"/>
      <c r="H210" s="806" t="s">
        <v>105</v>
      </c>
      <c r="I210" s="806"/>
      <c r="J210" s="806"/>
      <c r="K210" s="806"/>
      <c r="L210" s="806"/>
      <c r="M210" s="806"/>
      <c r="N210" s="806"/>
      <c r="O210" s="806"/>
      <c r="P210" s="21">
        <f>IF($P$207&gt;0,0,IF(S210=1,0.1,0))</f>
        <v>0</v>
      </c>
      <c r="Q210" s="2"/>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3">
      <c r="A211" s="2"/>
      <c r="B211" s="1248"/>
      <c r="C211" s="1249"/>
      <c r="D211" s="1249"/>
      <c r="E211" s="1250"/>
      <c r="F211" s="1083"/>
      <c r="G211" s="1022"/>
      <c r="H211" s="806" t="s">
        <v>1265</v>
      </c>
      <c r="I211" s="806"/>
      <c r="J211" s="806"/>
      <c r="K211" s="806"/>
      <c r="L211" s="806"/>
      <c r="M211" s="806"/>
      <c r="N211" s="806"/>
      <c r="O211" s="806"/>
      <c r="P211" s="21">
        <f>IF($P$207&gt;0,0,IF(S211=1,0.1,0))</f>
        <v>0</v>
      </c>
      <c r="Q211" s="2"/>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3">
      <c r="A212" s="2"/>
      <c r="B212" s="1251"/>
      <c r="C212" s="1252"/>
      <c r="D212" s="1252"/>
      <c r="E212" s="1253"/>
      <c r="F212" s="1024"/>
      <c r="G212" s="1025"/>
      <c r="H212" s="806" t="s">
        <v>665</v>
      </c>
      <c r="I212" s="806"/>
      <c r="J212" s="806"/>
      <c r="K212" s="806"/>
      <c r="L212" s="806"/>
      <c r="M212" s="806"/>
      <c r="N212" s="806"/>
      <c r="O212" s="806"/>
      <c r="P212" s="295">
        <f>IF($P$207&gt;0,0,IF(S212=1,0.1,0))</f>
        <v>0</v>
      </c>
      <c r="Q212" s="2"/>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3">
      <c r="A213" s="2"/>
      <c r="B213" s="1169"/>
      <c r="C213" s="1169"/>
      <c r="D213" s="1169"/>
      <c r="E213" s="1169"/>
      <c r="F213" s="1169"/>
      <c r="G213" s="1169"/>
      <c r="H213" s="1169"/>
      <c r="I213" s="1169"/>
      <c r="J213" s="1169"/>
      <c r="K213" s="1169"/>
      <c r="L213" s="1169"/>
      <c r="M213" s="1169"/>
      <c r="N213" s="1169"/>
      <c r="O213" s="1169"/>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3">
      <c r="A214" s="2"/>
      <c r="B214" s="940" t="s">
        <v>1343</v>
      </c>
      <c r="C214" s="941"/>
      <c r="D214" s="941"/>
      <c r="E214" s="941"/>
      <c r="F214" s="941"/>
      <c r="G214" s="941"/>
      <c r="H214" s="941"/>
      <c r="I214" s="941"/>
      <c r="J214" s="941"/>
      <c r="K214" s="941"/>
      <c r="L214" s="941"/>
      <c r="M214" s="941"/>
      <c r="N214" s="941"/>
      <c r="O214" s="941"/>
      <c r="P214" s="300"/>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3">
      <c r="A215" s="15"/>
      <c r="B215" s="1245" t="str">
        <f>IF(AND(P207&gt;0.5,T218=1),"ERROR: Foot/lower leg loss has occurred at or proximal to the tarsometatarsal joints; uncheck boxes at right.","")</f>
        <v/>
      </c>
      <c r="C215" s="1246"/>
      <c r="D215" s="1246"/>
      <c r="E215" s="1247"/>
      <c r="F215" s="1083"/>
      <c r="G215" s="1213"/>
      <c r="H215" s="806" t="s">
        <v>667</v>
      </c>
      <c r="I215" s="806"/>
      <c r="J215" s="806"/>
      <c r="K215" s="806"/>
      <c r="L215" s="806"/>
      <c r="M215" s="806"/>
      <c r="N215" s="806"/>
      <c r="O215" s="806"/>
      <c r="P215" s="21">
        <f>IF($P$207&gt;0.5,0,IF(S215=1,0.1,0))</f>
        <v>0</v>
      </c>
      <c r="Q215" s="2"/>
      <c r="R215" s="555" t="b">
        <v>0</v>
      </c>
      <c r="S215" s="578">
        <f>IF(R215=TRUE,1,0)</f>
        <v>0</v>
      </c>
      <c r="T215" s="10"/>
      <c r="U215" s="10"/>
      <c r="V215" s="10"/>
      <c r="W215" s="10">
        <v>1E-4</v>
      </c>
      <c r="X215" s="10"/>
      <c r="Y215" s="135"/>
      <c r="Z215" s="739"/>
      <c r="AA215" s="739"/>
      <c r="AB215" s="739"/>
      <c r="AC215" s="10"/>
      <c r="AD215" s="10"/>
      <c r="AE215" s="10"/>
      <c r="AF215" s="10"/>
      <c r="AG215" s="10"/>
      <c r="AH215" s="10"/>
      <c r="AI215" s="94"/>
      <c r="AJ215" s="739"/>
      <c r="AK215" s="739"/>
      <c r="AL215" s="739"/>
      <c r="AM215" s="739"/>
      <c r="AN215" s="739"/>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3">
      <c r="A216" s="2"/>
      <c r="B216" s="1248"/>
      <c r="C216" s="1249"/>
      <c r="D216" s="1249"/>
      <c r="E216" s="1250"/>
      <c r="F216" s="1083"/>
      <c r="G216" s="1213"/>
      <c r="H216" s="806" t="s">
        <v>668</v>
      </c>
      <c r="I216" s="806"/>
      <c r="J216" s="806"/>
      <c r="K216" s="806"/>
      <c r="L216" s="806"/>
      <c r="M216" s="806"/>
      <c r="N216" s="806"/>
      <c r="O216" s="806"/>
      <c r="P216" s="21">
        <f>IF($P$207&gt;0.5,0,IF(S216=1,0.1,0))</f>
        <v>0</v>
      </c>
      <c r="Q216" s="2"/>
      <c r="R216" s="555" t="b">
        <v>0</v>
      </c>
      <c r="S216" s="578">
        <f>IF(R216=TRUE,1,0)</f>
        <v>0</v>
      </c>
      <c r="T216" s="806" t="s">
        <v>669</v>
      </c>
      <c r="U216" s="806"/>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3">
      <c r="A217" s="2"/>
      <c r="B217" s="1248"/>
      <c r="C217" s="1249"/>
      <c r="D217" s="1249"/>
      <c r="E217" s="1250"/>
      <c r="F217" s="1083"/>
      <c r="G217" s="1213"/>
      <c r="H217" s="806" t="s">
        <v>61</v>
      </c>
      <c r="I217" s="806"/>
      <c r="J217" s="806"/>
      <c r="K217" s="806"/>
      <c r="L217" s="806"/>
      <c r="M217" s="806"/>
      <c r="N217" s="806"/>
      <c r="O217" s="806"/>
      <c r="P217" s="21">
        <f>IF($P$207&gt;0.5,0,IF(S217=1,0.1,0))</f>
        <v>0</v>
      </c>
      <c r="Q217" s="2"/>
      <c r="R217" s="555" t="b">
        <v>0</v>
      </c>
      <c r="S217" s="578">
        <f>IF(R217=TRUE,1,0)</f>
        <v>0</v>
      </c>
      <c r="T217" s="806" t="s">
        <v>1069</v>
      </c>
      <c r="U217" s="806"/>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3">
      <c r="A218" s="2"/>
      <c r="B218" s="1248"/>
      <c r="C218" s="1249"/>
      <c r="D218" s="1249"/>
      <c r="E218" s="1250"/>
      <c r="F218" s="1083"/>
      <c r="G218" s="1213"/>
      <c r="H218" s="806" t="s">
        <v>428</v>
      </c>
      <c r="I218" s="806"/>
      <c r="J218" s="806"/>
      <c r="K218" s="806"/>
      <c r="L218" s="806"/>
      <c r="M218" s="806"/>
      <c r="N218" s="806"/>
      <c r="O218" s="806"/>
      <c r="P218" s="21">
        <f>IF($P$207&gt;0.5,0,IF(S218=1,0.1,0))</f>
        <v>0</v>
      </c>
      <c r="Q218" s="2"/>
      <c r="R218" s="555" t="b">
        <v>0</v>
      </c>
      <c r="S218" s="578">
        <f>IF(R218=TRUE,1,0)</f>
        <v>0</v>
      </c>
      <c r="T218" s="806">
        <f>IF(OR(S215=1,S216=1,S217=1,S218=1,S219=1),1,0)</f>
        <v>0</v>
      </c>
      <c r="U218" s="806"/>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3">
      <c r="A219" s="2"/>
      <c r="B219" s="1251"/>
      <c r="C219" s="1252"/>
      <c r="D219" s="1252"/>
      <c r="E219" s="1253"/>
      <c r="F219" s="1083"/>
      <c r="G219" s="1213"/>
      <c r="H219" s="806" t="s">
        <v>475</v>
      </c>
      <c r="I219" s="806"/>
      <c r="J219" s="806"/>
      <c r="K219" s="806"/>
      <c r="L219" s="806"/>
      <c r="M219" s="806"/>
      <c r="N219" s="806"/>
      <c r="O219" s="806"/>
      <c r="P219" s="21">
        <f>IF($P$207&gt;0.5,0,IF(S219=1,0.1,0))</f>
        <v>0</v>
      </c>
      <c r="Q219" s="2"/>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3">
      <c r="A220" s="2"/>
      <c r="B220" s="925" t="s">
        <v>1594</v>
      </c>
      <c r="C220" s="925"/>
      <c r="D220" s="925"/>
      <c r="E220" s="925"/>
      <c r="F220" s="925"/>
      <c r="G220" s="925"/>
      <c r="H220" s="925"/>
      <c r="I220" s="925"/>
      <c r="J220" s="925"/>
      <c r="K220" s="925"/>
      <c r="L220" s="925"/>
      <c r="M220" s="925"/>
      <c r="N220" s="925"/>
      <c r="O220" s="925"/>
      <c r="P220" s="555"/>
      <c r="Q220" s="2"/>
      <c r="R220" s="104"/>
      <c r="S220" s="98"/>
      <c r="T220" s="927" t="s">
        <v>1257</v>
      </c>
      <c r="U220" s="927"/>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3">
      <c r="A221" s="2"/>
      <c r="B221" s="18" t="s">
        <v>1344</v>
      </c>
      <c r="C221" s="1166" t="s">
        <v>1595</v>
      </c>
      <c r="D221" s="1161"/>
      <c r="E221" s="1161"/>
      <c r="F221" s="1161"/>
      <c r="G221" s="922" t="s">
        <v>1081</v>
      </c>
      <c r="H221" s="941"/>
      <c r="I221" s="941"/>
      <c r="J221" s="941"/>
      <c r="K221" s="942"/>
      <c r="L221" s="1289"/>
      <c r="M221" s="1290"/>
      <c r="N221" s="1290"/>
      <c r="O221" s="1290"/>
      <c r="P221" s="1235"/>
      <c r="Q221" s="2"/>
      <c r="R221" s="259" t="s">
        <v>2260</v>
      </c>
      <c r="S221" s="50" t="s">
        <v>1572</v>
      </c>
      <c r="T221" s="259" t="s">
        <v>1595</v>
      </c>
      <c r="U221" s="259" t="s">
        <v>1596</v>
      </c>
      <c r="V221" s="925" t="s">
        <v>1083</v>
      </c>
      <c r="W221" s="925"/>
      <c r="X221" s="10"/>
      <c r="Y221" s="308" t="s">
        <v>2232</v>
      </c>
      <c r="Z221" s="146" t="s">
        <v>2233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3">
      <c r="A222" s="2"/>
      <c r="B222" s="293" t="s">
        <v>598</v>
      </c>
      <c r="C222" s="708"/>
      <c r="D222" s="708"/>
      <c r="E222" s="948">
        <f>LETable!AJ36</f>
        <v>0</v>
      </c>
      <c r="F222" s="948"/>
      <c r="G222" s="1018"/>
      <c r="H222" s="1018"/>
      <c r="I222" s="1018"/>
      <c r="J222" s="1206">
        <f>IF(C222="",0,IF(OR(C222&lt;=0,G222&lt;=0),E222,IF(G222&lt;C222,0,LETable!AO36)))</f>
        <v>0</v>
      </c>
      <c r="K222" s="1206"/>
      <c r="L222" s="1256" t="str">
        <f>IF(OR(C222="NA",G222="NA"),"",IF(AND(C222&lt;&gt;"",G222=""),"Enter contralateral or NA.",IF(AND(C222="",G222&lt;&gt;""),"Need data","")))</f>
        <v/>
      </c>
      <c r="M222" s="1256"/>
      <c r="N222" s="1256"/>
      <c r="O222" s="1257"/>
      <c r="P222" s="1235"/>
      <c r="Q222" s="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3">
      <c r="A223" s="2"/>
      <c r="B223" s="275" t="s">
        <v>485</v>
      </c>
      <c r="C223" s="708"/>
      <c r="D223" s="708"/>
      <c r="E223" s="948">
        <f>IF(AND($Y$222&gt;0,$Z$222&gt;0),"ERROR",LETable!AJ37)</f>
        <v>0</v>
      </c>
      <c r="F223" s="948"/>
      <c r="G223" s="1256" t="str">
        <f>IF(AND($Y$222&gt;0,$Z$222&gt;0),"Cannot rate ROM and ankylosis in the foot.","")</f>
        <v/>
      </c>
      <c r="H223" s="1256"/>
      <c r="I223" s="1256"/>
      <c r="J223" s="1256"/>
      <c r="K223" s="1256"/>
      <c r="L223" s="1256"/>
      <c r="M223" s="1256"/>
      <c r="N223" s="1256"/>
      <c r="O223" s="1257"/>
      <c r="P223" s="1235"/>
      <c r="Q223" s="2"/>
      <c r="R223" s="588">
        <f>IF(AC223&gt;0,R222,IF(AND(AC229&gt;0,C233&gt;0),C233*R222,R222))</f>
        <v>0</v>
      </c>
      <c r="S223" s="50">
        <v>30</v>
      </c>
      <c r="T223" s="50" t="str">
        <f>IF(OR(C223="",C223="NA"),"",IF(C223&gt;S223,S223,IF(C223&lt;0,0,C223)))</f>
        <v/>
      </c>
      <c r="U223" s="10"/>
      <c r="V223" s="10"/>
      <c r="Y223" s="50">
        <f>IF(AND(C222&lt;&gt;"",C222&lt;&gt;"NA"),1,0)</f>
        <v>0</v>
      </c>
      <c r="Z223" s="50">
        <f>IF(AND(C223&lt;&gt;"",C223&lt;&gt;"NA"),2,0)</f>
        <v>0</v>
      </c>
      <c r="AB223" s="61"/>
      <c r="AC223" s="193">
        <f>MAX(E223,E225)</f>
        <v>0</v>
      </c>
      <c r="AD223" s="806" t="s">
        <v>1942</v>
      </c>
      <c r="AE223" s="806"/>
      <c r="AF223" s="806"/>
      <c r="AG223" s="806"/>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3">
      <c r="A224" s="2"/>
      <c r="B224" s="275" t="s">
        <v>486</v>
      </c>
      <c r="C224" s="708"/>
      <c r="D224" s="708"/>
      <c r="E224" s="948">
        <f>LETable!AJ38</f>
        <v>0</v>
      </c>
      <c r="F224" s="948"/>
      <c r="G224" s="1018"/>
      <c r="H224" s="1018"/>
      <c r="I224" s="1018"/>
      <c r="J224" s="1206">
        <f>IF(C224="",0,IF(OR(C224&lt;=0,G224&lt;=0),E224,IF(G224&lt;C224,0,LETable!AO38)))</f>
        <v>0</v>
      </c>
      <c r="K224" s="1206"/>
      <c r="L224" s="1256" t="str">
        <f>IF(OR(C224="NA",G224="NA"),"",IF(AND(C224&lt;&gt;"",G224=""),"Enter contralateral or NA.",IF(AND(C224="",G224&lt;&gt;""),"Need data","")))</f>
        <v/>
      </c>
      <c r="M224" s="1256"/>
      <c r="N224" s="1256"/>
      <c r="O224" s="1257"/>
      <c r="P224" s="1235"/>
      <c r="Q224" s="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3">
      <c r="A225" s="2"/>
      <c r="B225" s="275" t="s">
        <v>487</v>
      </c>
      <c r="C225" s="708"/>
      <c r="D225" s="708"/>
      <c r="E225" s="948">
        <f>IF(AND($Y$222&gt;0,$Z$222&gt;0),"ERROR",LETable!AJ39)</f>
        <v>0</v>
      </c>
      <c r="F225" s="948"/>
      <c r="G225" s="1203" t="str">
        <f>IF(AND($Y$222&gt;0,$Z$222&gt;0),"Cannot rate ROM and ankylosis in the foot.",IF(AND(C223&lt;&gt;"",C223&lt;&gt;"NA",C225&lt;&gt;"",C225&lt;&gt;"NA"),"Multiple ankylosis values; use higher value only.",""))</f>
        <v/>
      </c>
      <c r="H225" s="1204"/>
      <c r="I225" s="1204"/>
      <c r="J225" s="1204"/>
      <c r="K225" s="1204"/>
      <c r="L225" s="1204"/>
      <c r="M225" s="1204"/>
      <c r="N225" s="1204"/>
      <c r="O225" s="1204"/>
      <c r="P225" s="1235"/>
      <c r="Q225" s="2"/>
      <c r="R225" s="10"/>
      <c r="S225" s="50">
        <v>20</v>
      </c>
      <c r="T225" s="50" t="str">
        <f>IF(OR(C225="",C225="NA"),"",IF(C225&gt;S225,S225,IF(C225&lt;0,0,C225)))</f>
        <v/>
      </c>
      <c r="U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3">
      <c r="A226" s="2"/>
      <c r="B226" s="1285" t="s">
        <v>2262</v>
      </c>
      <c r="C226" s="1286"/>
      <c r="D226" s="1286"/>
      <c r="E226" s="1286"/>
      <c r="F226" s="1286"/>
      <c r="G226" s="1286"/>
      <c r="H226" s="1286"/>
      <c r="I226" s="1286"/>
      <c r="J226" s="1286"/>
      <c r="K226" s="1286"/>
      <c r="L226" s="1286"/>
      <c r="M226" s="1286"/>
      <c r="N226" s="1287"/>
      <c r="O226" s="645">
        <f>R223</f>
        <v>0</v>
      </c>
      <c r="P226" s="1235"/>
      <c r="Q226" s="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3">
      <c r="A227" s="2"/>
      <c r="B227" s="650" t="s">
        <v>1345</v>
      </c>
      <c r="C227" s="1166" t="s">
        <v>1595</v>
      </c>
      <c r="D227" s="1161"/>
      <c r="E227" s="1161"/>
      <c r="F227" s="1161"/>
      <c r="G227" s="922" t="s">
        <v>1081</v>
      </c>
      <c r="H227" s="941"/>
      <c r="I227" s="941"/>
      <c r="J227" s="941"/>
      <c r="K227" s="942"/>
      <c r="L227" s="940"/>
      <c r="M227" s="941"/>
      <c r="N227" s="941"/>
      <c r="O227" s="941"/>
      <c r="P227" s="1235"/>
      <c r="Q227" s="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3">
      <c r="A228" s="2"/>
      <c r="B228" s="128" t="s">
        <v>1334</v>
      </c>
      <c r="C228" s="708"/>
      <c r="D228" s="708"/>
      <c r="E228" s="948">
        <f>LETable!AJ42</f>
        <v>0</v>
      </c>
      <c r="F228" s="948"/>
      <c r="G228" s="1018"/>
      <c r="H228" s="1018"/>
      <c r="I228" s="1018"/>
      <c r="J228" s="1206">
        <f>IF(C228="",0,IF(OR(C228&lt;=0,G228&lt;=0),E228,IF(G228&lt;C228,0,LETable!AO42)))</f>
        <v>0</v>
      </c>
      <c r="K228" s="1206"/>
      <c r="L228" s="1256" t="str">
        <f>IF(OR(C228="NA",G228="NA"),"",IF(AND(C228&lt;&gt;"",G228=""),"Enter contralateral or NA.",IF(AND(C228="",G228&lt;&gt;""),"Need data","")))</f>
        <v/>
      </c>
      <c r="M228" s="1256"/>
      <c r="N228" s="1256"/>
      <c r="O228" s="1257"/>
      <c r="P228" s="1235"/>
      <c r="Q228" s="2"/>
      <c r="R228" s="194">
        <f>IF(AC229&gt;0,R227,IF(AND(AC223&gt;0,C233&gt;0),C233*R227,R227))</f>
        <v>0</v>
      </c>
      <c r="S228" s="531">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3">
      <c r="A229" s="2"/>
      <c r="B229" s="128" t="s">
        <v>1335</v>
      </c>
      <c r="C229" s="708"/>
      <c r="D229" s="708"/>
      <c r="E229" s="948">
        <f>IF(AND($Y$228&gt;0,$Z$228&gt;0),"ERROR",LETable!AJ43)</f>
        <v>0</v>
      </c>
      <c r="F229" s="948"/>
      <c r="G229" s="1256" t="str">
        <f>IF(AND($Y$228&gt;0,$Z$228&gt;0),"Cannot rate ROM and ankylosis in the ankle.","")</f>
        <v/>
      </c>
      <c r="H229" s="1256"/>
      <c r="I229" s="1256"/>
      <c r="J229" s="1256"/>
      <c r="K229" s="1256"/>
      <c r="L229" s="1256"/>
      <c r="M229" s="1256"/>
      <c r="N229" s="1256"/>
      <c r="O229" s="1257"/>
      <c r="P229" s="1235"/>
      <c r="Q229" s="2"/>
      <c r="R229" s="193">
        <f>IF(OR(AC223&gt;0,AC229&gt;0),R223+R228,IF(C233&gt;0,C233*(R223+R228),R223+R228))</f>
        <v>0</v>
      </c>
      <c r="S229" s="531">
        <v>20</v>
      </c>
      <c r="T229" s="50" t="str">
        <f>IF(OR(C229="",C229="NA"),"",IF(C229&gt;S229,S229,IF(C229&lt;0,0,C229)))</f>
        <v/>
      </c>
      <c r="U229" s="10"/>
      <c r="Y229" s="50">
        <f>IF(AND(C230&lt;&gt;"",C230&lt;&gt;"NA"),1,0)</f>
        <v>0</v>
      </c>
      <c r="Z229" s="50">
        <f>IF(AND(C231&lt;&gt;"",C231&lt;&gt;"NA"),2,0)</f>
        <v>0</v>
      </c>
      <c r="AB229" s="10"/>
      <c r="AC229" s="193">
        <f>MAX(E229,E231)</f>
        <v>0</v>
      </c>
      <c r="AD229" s="806" t="s">
        <v>1942</v>
      </c>
      <c r="AE229" s="806"/>
      <c r="AF229" s="806"/>
      <c r="AG229" s="806"/>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3">
      <c r="A230" s="2"/>
      <c r="B230" s="296" t="s">
        <v>1255</v>
      </c>
      <c r="C230" s="708"/>
      <c r="D230" s="708"/>
      <c r="E230" s="948">
        <f>LETable!AJ44</f>
        <v>0</v>
      </c>
      <c r="F230" s="948"/>
      <c r="G230" s="1260"/>
      <c r="H230" s="1269"/>
      <c r="I230" s="1261"/>
      <c r="J230" s="1206">
        <f>IF(C230="",0,IF(OR(C230&lt;=0,G230&lt;=0),E230,IF(G230&lt;C230,0,LETable!AO44)))</f>
        <v>0</v>
      </c>
      <c r="K230" s="1206"/>
      <c r="L230" s="1256" t="str">
        <f>IF(OR(C230="NA",G230="NA"),"",IF(AND(C230&lt;&gt;"",G230=""),"Enter contralateral or NA.",IF(AND(C230="",G230&lt;&gt;""),"Need data","")))</f>
        <v/>
      </c>
      <c r="M230" s="1256"/>
      <c r="N230" s="1256"/>
      <c r="O230" s="1257"/>
      <c r="P230" s="1235"/>
      <c r="Q230" s="2"/>
      <c r="R230" s="50" t="s">
        <v>696</v>
      </c>
      <c r="S230" s="531">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IF(AND(C228&lt;&gt;"",C228&lt;&gt;"NA"),1,0)</f>
        <v>0</v>
      </c>
      <c r="Z230" s="50">
        <f>IF(AND(C229&lt;&gt;"",C229&lt;&gt;"NA"),2,0)</f>
        <v>0</v>
      </c>
      <c r="AA230" s="10"/>
      <c r="AB230" s="10"/>
      <c r="AC230" s="132"/>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3">
      <c r="A231" s="2"/>
      <c r="B231" s="128" t="s">
        <v>1839</v>
      </c>
      <c r="C231" s="708"/>
      <c r="D231" s="708"/>
      <c r="E231" s="948">
        <f>IF(AND($Y$228&gt;0,$Z$228&gt;0),"ERROR",LETable!AJ45)</f>
        <v>0</v>
      </c>
      <c r="F231" s="948"/>
      <c r="G231" s="1203" t="str">
        <f>IF(AND($Y$228&gt;0,$Z$228&gt;0),"Cannot rate ROM and ankylosis in the ankle.",IF(AND(C229&lt;&gt;"",C229&lt;&gt;"NA",C231&lt;&gt;"",C231&lt;&gt;"NA"),"Multiple ankylosis values; use higher value only.",""))</f>
        <v/>
      </c>
      <c r="H231" s="1204"/>
      <c r="I231" s="1204"/>
      <c r="J231" s="1204"/>
      <c r="K231" s="1204"/>
      <c r="L231" s="1204"/>
      <c r="M231" s="1204"/>
      <c r="N231" s="1204"/>
      <c r="O231" s="1204"/>
      <c r="P231" s="1235"/>
      <c r="Q231" s="2"/>
      <c r="R231" s="50" t="s">
        <v>698</v>
      </c>
      <c r="S231" s="531">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3">
      <c r="A232" s="2"/>
      <c r="B232" s="1343" t="s">
        <v>2255</v>
      </c>
      <c r="C232" s="654"/>
      <c r="D232" s="654"/>
      <c r="E232" s="1138" t="str">
        <f>IF(AND(OR(E223&gt;0,E225&gt;0,E229&gt;0,E231&gt;0),C233&gt;0),"Ankylosis cannot be apportioned.","")</f>
        <v/>
      </c>
      <c r="F232" s="1138"/>
      <c r="G232" s="1138"/>
      <c r="H232" s="1138"/>
      <c r="I232" s="1138"/>
      <c r="J232" s="1138"/>
      <c r="K232" s="1138"/>
      <c r="L232" s="654"/>
      <c r="M232" s="654"/>
      <c r="N232" s="654"/>
      <c r="O232" s="654"/>
      <c r="P232" s="1235"/>
      <c r="Q232" s="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18" customHeight="1" x14ac:dyDescent="0.3">
      <c r="A233" s="2"/>
      <c r="B233" s="1344"/>
      <c r="C233" s="935"/>
      <c r="D233" s="935"/>
      <c r="E233" s="1138"/>
      <c r="F233" s="1138"/>
      <c r="G233" s="1138"/>
      <c r="H233" s="1138"/>
      <c r="I233" s="1138"/>
      <c r="J233" s="1138"/>
      <c r="K233" s="1138"/>
      <c r="L233" s="1286" t="s">
        <v>2262</v>
      </c>
      <c r="M233" s="1286"/>
      <c r="N233" s="1287"/>
      <c r="O233" s="284">
        <f>R228</f>
        <v>0</v>
      </c>
      <c r="P233" s="1235"/>
      <c r="Q233" s="2"/>
      <c r="S233" s="136"/>
      <c r="T233" s="129"/>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20.25" customHeight="1" x14ac:dyDescent="0.3">
      <c r="A234" s="2"/>
      <c r="B234" s="927"/>
      <c r="C234" s="927"/>
      <c r="D234" s="927"/>
      <c r="E234" s="927"/>
      <c r="F234" s="927"/>
      <c r="G234" s="927"/>
      <c r="H234" s="927"/>
      <c r="I234" s="927"/>
      <c r="J234" s="927"/>
      <c r="K234" s="927"/>
      <c r="L234" s="1099" t="s">
        <v>1028</v>
      </c>
      <c r="M234" s="1100"/>
      <c r="N234" s="1100"/>
      <c r="O234" s="1101"/>
      <c r="P234" s="299">
        <f>IF(R232=1,"ERROR",IF(AND(R229&gt;0,R229&lt;0.01),0.01,IF(R229&gt;1,1,ROUND(R229,2))))</f>
        <v>0</v>
      </c>
      <c r="Q234" s="2"/>
      <c r="R234" s="10"/>
      <c r="S234" s="136"/>
      <c r="T234" s="129"/>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15" customHeight="1" x14ac:dyDescent="0.35">
      <c r="A235" s="2"/>
      <c r="B235" s="1211"/>
      <c r="C235" s="1211"/>
      <c r="D235" s="1211"/>
      <c r="E235" s="1211"/>
      <c r="F235" s="1211"/>
      <c r="G235" s="1211"/>
      <c r="H235" s="1211"/>
      <c r="I235" s="1211"/>
      <c r="J235" s="1211"/>
      <c r="K235" s="1211"/>
      <c r="L235" s="1211"/>
      <c r="M235" s="1211"/>
      <c r="N235" s="1211"/>
      <c r="O235" s="1211"/>
      <c r="P235" s="29"/>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21" customHeight="1" x14ac:dyDescent="0.3">
      <c r="A236" s="2"/>
      <c r="B236" s="940" t="s">
        <v>1999</v>
      </c>
      <c r="C236" s="941"/>
      <c r="D236" s="941"/>
      <c r="E236" s="941"/>
      <c r="F236" s="941"/>
      <c r="G236" s="941"/>
      <c r="H236" s="941"/>
      <c r="I236" s="941"/>
      <c r="J236" s="941"/>
      <c r="K236" s="941"/>
      <c r="L236" s="941"/>
      <c r="M236" s="941"/>
      <c r="N236" s="941"/>
      <c r="O236" s="941"/>
      <c r="P236" s="1307"/>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8" customHeight="1" x14ac:dyDescent="0.3">
      <c r="A237" s="2"/>
      <c r="B237" s="940" t="s">
        <v>2003</v>
      </c>
      <c r="C237" s="941"/>
      <c r="D237" s="941"/>
      <c r="E237" s="941"/>
      <c r="F237" s="941"/>
      <c r="G237" s="941"/>
      <c r="H237" s="941"/>
      <c r="I237" s="941"/>
      <c r="J237" s="941"/>
      <c r="K237" s="941"/>
      <c r="L237" s="941"/>
      <c r="M237" s="941"/>
      <c r="N237" s="941"/>
      <c r="O237" s="941"/>
      <c r="P237" s="1308"/>
      <c r="Q237" s="2"/>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3">
      <c r="A238" s="2"/>
      <c r="B238" s="146" t="s">
        <v>2013</v>
      </c>
      <c r="C238" s="1271"/>
      <c r="D238" s="1271"/>
      <c r="E238" s="1271"/>
      <c r="F238" s="1271"/>
      <c r="G238" s="1271"/>
      <c r="H238" s="1271"/>
      <c r="I238" s="1271"/>
      <c r="J238" s="1271"/>
      <c r="K238" s="1271"/>
      <c r="L238" s="1271"/>
      <c r="M238" s="1271"/>
      <c r="N238" s="1271"/>
      <c r="O238" s="66"/>
      <c r="P238" s="82">
        <f>IF(C238=S238,0,IF(C238=T238,0.05,IF(C238=U238,0.1,0)))</f>
        <v>0</v>
      </c>
      <c r="Q238" s="2"/>
      <c r="R238" s="947"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5" customHeight="1" x14ac:dyDescent="0.3">
      <c r="A239" s="2"/>
      <c r="B239" s="233" t="s">
        <v>2014</v>
      </c>
      <c r="C239" s="1282"/>
      <c r="D239" s="1282"/>
      <c r="E239" s="1282"/>
      <c r="F239" s="1282"/>
      <c r="G239" s="1282"/>
      <c r="H239" s="1282"/>
      <c r="I239" s="1282"/>
      <c r="J239" s="1282"/>
      <c r="K239" s="1282"/>
      <c r="L239" s="1282"/>
      <c r="M239" s="1282"/>
      <c r="N239" s="1282"/>
      <c r="O239" s="254"/>
      <c r="P239" s="82">
        <f>IF(C239=S239,0,IF(C239=T239,0.05,IF(C239=U239,0.1,0)))</f>
        <v>0</v>
      </c>
      <c r="Q239" s="2"/>
      <c r="R239" s="947"/>
      <c r="S239" s="50" t="s">
        <v>1941</v>
      </c>
      <c r="T239" s="50" t="s">
        <v>1996</v>
      </c>
      <c r="U239" s="50" t="s">
        <v>1997</v>
      </c>
      <c r="V239" s="97"/>
      <c r="W239" s="557">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4" x14ac:dyDescent="0.3">
      <c r="A240" s="2"/>
      <c r="B240" s="1169"/>
      <c r="C240" s="1169"/>
      <c r="D240" s="1169"/>
      <c r="E240" s="1169"/>
      <c r="F240" s="1169"/>
      <c r="G240" s="1169"/>
      <c r="H240" s="1169"/>
      <c r="I240" s="1169"/>
      <c r="J240" s="1169"/>
      <c r="K240" s="1169"/>
      <c r="L240" s="1169"/>
      <c r="M240" s="1169"/>
      <c r="N240" s="1169"/>
      <c r="O240" s="1169"/>
      <c r="P240" s="63"/>
      <c r="Q240" s="2"/>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8" customHeight="1" x14ac:dyDescent="0.3">
      <c r="A241" s="15"/>
      <c r="B241" s="940" t="s">
        <v>569</v>
      </c>
      <c r="C241" s="941"/>
      <c r="D241" s="941"/>
      <c r="E241" s="941"/>
      <c r="F241" s="941"/>
      <c r="G241" s="941"/>
      <c r="H241" s="941"/>
      <c r="I241" s="941"/>
      <c r="J241" s="941"/>
      <c r="K241" s="941"/>
      <c r="L241" s="941"/>
      <c r="M241" s="941"/>
      <c r="N241" s="941"/>
      <c r="O241" s="941"/>
      <c r="P241" s="385"/>
      <c r="Q241" s="2"/>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3">
      <c r="A242" s="2"/>
      <c r="B242" s="968" t="s">
        <v>1027</v>
      </c>
      <c r="C242" s="1345"/>
      <c r="D242" s="1345"/>
      <c r="E242" s="1345"/>
      <c r="F242" s="1345"/>
      <c r="G242" s="1291"/>
      <c r="H242" s="1292"/>
      <c r="I242" s="1292"/>
      <c r="J242" s="1292"/>
      <c r="K242" s="1292"/>
      <c r="L242" s="1292"/>
      <c r="M242" s="1292"/>
      <c r="N242" s="1292"/>
      <c r="O242" s="1292"/>
      <c r="P242" s="91">
        <f>IF(G242=$T$242,0.09,IF(G242=$U$242,0.18,IF(G242=$V$242,0.28,0)))</f>
        <v>0</v>
      </c>
      <c r="Q242" s="2"/>
      <c r="R242" s="947" t="s">
        <v>2196</v>
      </c>
      <c r="S242" s="531" t="s">
        <v>1941</v>
      </c>
      <c r="T242" s="50" t="s">
        <v>915</v>
      </c>
      <c r="U242" s="50" t="s">
        <v>1802</v>
      </c>
      <c r="V242" s="50" t="s">
        <v>916</v>
      </c>
      <c r="W242" s="50"/>
      <c r="X242" s="5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5" customHeight="1" x14ac:dyDescent="0.3">
      <c r="A243" s="2"/>
      <c r="B243" s="1294" t="s">
        <v>917</v>
      </c>
      <c r="C243" s="1295"/>
      <c r="D243" s="1295"/>
      <c r="E243" s="1295"/>
      <c r="F243" s="1296"/>
      <c r="G243" s="1299"/>
      <c r="H243" s="1300"/>
      <c r="I243" s="1300"/>
      <c r="J243" s="1300"/>
      <c r="K243" s="1300"/>
      <c r="L243" s="1300"/>
      <c r="M243" s="1300"/>
      <c r="N243" s="1300"/>
      <c r="O243" s="1301"/>
      <c r="P243" s="82">
        <f>IF(G243=$T$242,0.06,IF(G243=$U$242,0.11,IF(G243=$V$242,0.17,0)))</f>
        <v>0</v>
      </c>
      <c r="Q243" s="2"/>
      <c r="R243" s="947"/>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19.5" customHeight="1" x14ac:dyDescent="0.3">
      <c r="A244" s="2"/>
      <c r="B244" s="1346" t="s">
        <v>2133</v>
      </c>
      <c r="C244" s="1347"/>
      <c r="D244" s="1347"/>
      <c r="E244" s="1347"/>
      <c r="F244" s="1347"/>
      <c r="G244" s="1347"/>
      <c r="H244" s="1347"/>
      <c r="I244" s="1347"/>
      <c r="J244" s="1347"/>
      <c r="K244" s="1347"/>
      <c r="L244" s="1347"/>
      <c r="M244" s="1347"/>
      <c r="N244" s="1347"/>
      <c r="O244" s="1348"/>
      <c r="P244" s="91">
        <f>IF(S244=1,0.1,0)</f>
        <v>0</v>
      </c>
      <c r="Q244" s="2"/>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3">
      <c r="A245" s="2"/>
      <c r="B245" s="1233"/>
      <c r="C245" s="1233"/>
      <c r="D245" s="1233"/>
      <c r="E245" s="1233"/>
      <c r="F245" s="1233"/>
      <c r="G245" s="1233"/>
      <c r="H245" s="1233"/>
      <c r="I245" s="1233"/>
      <c r="J245" s="1233"/>
      <c r="K245" s="1233"/>
      <c r="L245" s="1233"/>
      <c r="M245" s="1233"/>
      <c r="N245" s="1233"/>
      <c r="O245" s="1233"/>
      <c r="P245" s="7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3" customHeight="1" x14ac:dyDescent="0.3">
      <c r="A246" s="2"/>
      <c r="B246" s="1169"/>
      <c r="C246" s="1169"/>
      <c r="D246" s="1169"/>
      <c r="E246" s="1169"/>
      <c r="F246" s="1169"/>
      <c r="G246" s="1169"/>
      <c r="H246" s="1169"/>
      <c r="I246" s="1169"/>
      <c r="J246" s="1169"/>
      <c r="K246" s="1169"/>
      <c r="L246" s="1169"/>
      <c r="M246" s="1169"/>
      <c r="N246" s="1169"/>
      <c r="O246" s="1169"/>
      <c r="P246" s="63"/>
      <c r="Q246" s="2"/>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9.5" customHeight="1" x14ac:dyDescent="0.3">
      <c r="A247" s="15"/>
      <c r="B247" s="308" t="s">
        <v>1957</v>
      </c>
      <c r="C247" s="1298"/>
      <c r="D247" s="1298"/>
      <c r="E247" s="1298"/>
      <c r="F247" s="1298"/>
      <c r="G247" s="1298"/>
      <c r="H247" s="1298"/>
      <c r="I247" s="1298"/>
      <c r="J247" s="1298"/>
      <c r="K247" s="1298"/>
      <c r="L247" s="1298"/>
      <c r="M247" s="1298"/>
      <c r="N247" s="1298"/>
      <c r="O247" s="1298"/>
      <c r="P247" s="82">
        <f>IF(S247=1,0,IF(S247=2,0.1,IF(S247=3,0.1,0)))</f>
        <v>0</v>
      </c>
      <c r="Q247" s="2"/>
      <c r="R247" s="50" t="s">
        <v>2223</v>
      </c>
      <c r="S247" s="606">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8" customHeight="1" x14ac:dyDescent="0.3">
      <c r="A248" s="15"/>
      <c r="B248" s="1024" t="s">
        <v>1869</v>
      </c>
      <c r="C248" s="1025"/>
      <c r="D248" s="1025"/>
      <c r="E248" s="1025"/>
      <c r="F248" s="1025"/>
      <c r="G248" s="1025"/>
      <c r="H248" s="1025"/>
      <c r="I248" s="1025"/>
      <c r="J248" s="1025"/>
      <c r="K248" s="1025"/>
      <c r="L248" s="1025"/>
      <c r="M248" s="1025"/>
      <c r="N248" s="1025"/>
      <c r="O248" s="1025"/>
      <c r="P248" s="91">
        <f>IF(S248=1,0.14,0)</f>
        <v>0</v>
      </c>
      <c r="Q248" s="2"/>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2" customHeight="1" x14ac:dyDescent="0.3">
      <c r="A249" s="2"/>
      <c r="B249" s="1169"/>
      <c r="C249" s="1169"/>
      <c r="D249" s="1169"/>
      <c r="E249" s="1169"/>
      <c r="F249" s="1169"/>
      <c r="G249" s="1169"/>
      <c r="H249" s="1169"/>
      <c r="I249" s="1169"/>
      <c r="J249" s="1169"/>
      <c r="K249" s="1169"/>
      <c r="L249" s="1169"/>
      <c r="M249" s="1169"/>
      <c r="N249" s="1169"/>
      <c r="O249" s="1169"/>
      <c r="P249" s="63"/>
      <c r="Q249" s="2"/>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8" customHeight="1" x14ac:dyDescent="0.3">
      <c r="A250" s="15"/>
      <c r="B250" s="1174" t="s">
        <v>1738</v>
      </c>
      <c r="C250" s="1174"/>
      <c r="D250" s="1174"/>
      <c r="E250" s="1174"/>
      <c r="F250" s="1023"/>
      <c r="G250" s="1023"/>
      <c r="H250" s="806"/>
      <c r="I250" s="806"/>
      <c r="J250" s="806"/>
      <c r="K250" s="806"/>
      <c r="L250" s="806"/>
      <c r="M250" s="806"/>
      <c r="N250" s="806"/>
      <c r="O250" s="806"/>
      <c r="P250" s="21">
        <f>IF(S250=1,0.25,0)</f>
        <v>0</v>
      </c>
      <c r="Q250" s="2"/>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2" customHeight="1" x14ac:dyDescent="0.3">
      <c r="A251" s="2"/>
      <c r="B251" s="1169"/>
      <c r="C251" s="1169"/>
      <c r="D251" s="1169"/>
      <c r="E251" s="1169"/>
      <c r="F251" s="1169"/>
      <c r="G251" s="1169"/>
      <c r="H251" s="1169"/>
      <c r="I251" s="1169"/>
      <c r="J251" s="1169"/>
      <c r="K251" s="1169"/>
      <c r="L251" s="1169"/>
      <c r="M251" s="1169"/>
      <c r="N251" s="1169"/>
      <c r="O251" s="1169"/>
      <c r="P251" s="63"/>
      <c r="Q251" s="2"/>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18" customHeight="1" x14ac:dyDescent="0.3">
      <c r="A252" s="2"/>
      <c r="B252" s="927" t="s">
        <v>1739</v>
      </c>
      <c r="C252" s="925"/>
      <c r="D252" s="925"/>
      <c r="E252" s="925"/>
      <c r="F252" s="925"/>
      <c r="G252" s="925"/>
      <c r="H252" s="925"/>
      <c r="I252" s="925"/>
      <c r="J252" s="925"/>
      <c r="K252" s="925"/>
      <c r="L252" s="925"/>
      <c r="M252" s="925"/>
      <c r="N252" s="925"/>
      <c r="O252" s="925"/>
      <c r="P252" s="300"/>
      <c r="Q252" s="2"/>
      <c r="R252" s="10"/>
      <c r="S252" s="10"/>
      <c r="Y252" s="10"/>
      <c r="Z252" s="739"/>
      <c r="AA252" s="739"/>
      <c r="AB252" s="739"/>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3">
      <c r="A253" s="2"/>
      <c r="B253" s="776" t="s">
        <v>559</v>
      </c>
      <c r="C253" s="776"/>
      <c r="D253" s="776"/>
      <c r="E253" s="776"/>
      <c r="F253" s="776"/>
      <c r="G253" s="776"/>
      <c r="H253" s="776"/>
      <c r="I253" s="776"/>
      <c r="J253" s="776"/>
      <c r="K253" s="776"/>
      <c r="L253" s="776"/>
      <c r="M253" s="776"/>
      <c r="N253" s="708"/>
      <c r="O253" s="708"/>
      <c r="P253" s="21">
        <f>IF(N253=T253,0.03,IF(N253=U253,0.15,IF(N253=V253,0.38,IF(N253=W253,0.68,IF(N253=X253,0.9,0)))))</f>
        <v>0</v>
      </c>
      <c r="Q253" s="2"/>
      <c r="R253" s="50">
        <f>IF(OR(N253=U253,N253=V253,N253=W253,N253=X253),1,0)</f>
        <v>0</v>
      </c>
      <c r="S253" s="10"/>
      <c r="T253" s="50" t="s">
        <v>1968</v>
      </c>
      <c r="U253" s="50" t="s">
        <v>1969</v>
      </c>
      <c r="V253" s="147" t="s">
        <v>1971</v>
      </c>
      <c r="W253" s="50" t="s">
        <v>945</v>
      </c>
      <c r="X253" s="147" t="s">
        <v>558</v>
      </c>
      <c r="Y253" s="10"/>
      <c r="Z253" s="739"/>
      <c r="AA253" s="739"/>
      <c r="AB253" s="739"/>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21" customHeight="1" x14ac:dyDescent="0.3">
      <c r="A254" s="15"/>
      <c r="B254" s="971" t="s">
        <v>560</v>
      </c>
      <c r="C254" s="971"/>
      <c r="D254" s="971"/>
      <c r="E254" s="971"/>
      <c r="F254" s="971"/>
      <c r="G254" s="971"/>
      <c r="H254" s="971"/>
      <c r="I254" s="971"/>
      <c r="J254" s="971"/>
      <c r="K254" s="971"/>
      <c r="L254" s="971"/>
      <c r="M254" s="971"/>
      <c r="N254" s="1023"/>
      <c r="O254" s="1023"/>
      <c r="P254" s="82">
        <f>IF(S254=1,0.1,0)</f>
        <v>0</v>
      </c>
      <c r="Q254" s="2"/>
      <c r="R254" s="50" t="s">
        <v>2223</v>
      </c>
      <c r="S254" s="555">
        <v>2</v>
      </c>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2" customHeight="1" x14ac:dyDescent="0.3">
      <c r="A255" s="2"/>
      <c r="B255" s="1169"/>
      <c r="C255" s="1169"/>
      <c r="D255" s="1169"/>
      <c r="E255" s="1169"/>
      <c r="F255" s="1169"/>
      <c r="G255" s="1169"/>
      <c r="H255" s="1169"/>
      <c r="I255" s="1169"/>
      <c r="J255" s="1169"/>
      <c r="K255" s="1169"/>
      <c r="L255" s="1169"/>
      <c r="M255" s="1169"/>
      <c r="N255" s="1169"/>
      <c r="O255" s="1169"/>
      <c r="P255" s="63"/>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3">
      <c r="A256" s="2"/>
      <c r="B256" s="1189" t="s">
        <v>176</v>
      </c>
      <c r="C256" s="1189"/>
      <c r="D256" s="1189"/>
      <c r="E256" s="1189"/>
      <c r="F256" s="1189"/>
      <c r="G256" s="1201"/>
      <c r="H256" s="1201"/>
      <c r="I256" s="1201"/>
      <c r="J256" s="1201"/>
      <c r="K256" s="1201"/>
      <c r="L256" s="1201"/>
      <c r="M256" s="1201"/>
      <c r="N256" s="1201"/>
      <c r="O256" s="1201"/>
      <c r="P256" s="300"/>
      <c r="Q256" s="2"/>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3">
      <c r="A257" s="15"/>
      <c r="B257" s="1312" t="s">
        <v>974</v>
      </c>
      <c r="C257" s="1312"/>
      <c r="D257" s="1312"/>
      <c r="E257" s="1023"/>
      <c r="F257" s="1083"/>
      <c r="G257" s="764" t="s">
        <v>975</v>
      </c>
      <c r="H257" s="765"/>
      <c r="I257" s="765"/>
      <c r="J257" s="765"/>
      <c r="K257" s="765"/>
      <c r="L257" s="765"/>
      <c r="M257" s="765"/>
      <c r="N257" s="765"/>
      <c r="O257" s="766"/>
      <c r="P257" s="744">
        <f>IF(AND(T259&gt;0,T263&gt;0),0.05,0)</f>
        <v>0</v>
      </c>
      <c r="Q257" s="2"/>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3">
      <c r="A258" s="2"/>
      <c r="B258" s="1312"/>
      <c r="C258" s="1312"/>
      <c r="D258" s="1312"/>
      <c r="E258" s="1023"/>
      <c r="F258" s="1083"/>
      <c r="G258" s="833" t="s">
        <v>976</v>
      </c>
      <c r="H258" s="713"/>
      <c r="I258" s="713"/>
      <c r="J258" s="713"/>
      <c r="K258" s="713"/>
      <c r="L258" s="713"/>
      <c r="M258" s="713"/>
      <c r="N258" s="713"/>
      <c r="O258" s="834"/>
      <c r="P258" s="752"/>
      <c r="Q258" s="2"/>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3">
      <c r="A259" s="2"/>
      <c r="B259" s="1312"/>
      <c r="C259" s="1312"/>
      <c r="D259" s="1312"/>
      <c r="E259" s="1023"/>
      <c r="F259" s="1083"/>
      <c r="G259" s="767" t="s">
        <v>977</v>
      </c>
      <c r="H259" s="768"/>
      <c r="I259" s="768"/>
      <c r="J259" s="768"/>
      <c r="K259" s="768"/>
      <c r="L259" s="768"/>
      <c r="M259" s="768"/>
      <c r="N259" s="768"/>
      <c r="O259" s="769"/>
      <c r="P259" s="752"/>
      <c r="Q259" s="2"/>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3">
      <c r="A260" s="2"/>
      <c r="B260" s="1312"/>
      <c r="C260" s="1312"/>
      <c r="D260" s="1312"/>
      <c r="E260" s="1297"/>
      <c r="F260" s="1024"/>
      <c r="G260" s="1170" t="s">
        <v>978</v>
      </c>
      <c r="H260" s="1171"/>
      <c r="I260" s="1171"/>
      <c r="J260" s="1171"/>
      <c r="K260" s="1171"/>
      <c r="L260" s="1171"/>
      <c r="M260" s="1171"/>
      <c r="N260" s="1171"/>
      <c r="O260" s="1172"/>
      <c r="P260" s="752"/>
      <c r="Q260" s="2"/>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3">
      <c r="A261" s="2"/>
      <c r="B261" s="1312"/>
      <c r="C261" s="1312"/>
      <c r="D261" s="1312"/>
      <c r="E261" s="1023"/>
      <c r="F261" s="1083"/>
      <c r="G261" s="1170" t="s">
        <v>979</v>
      </c>
      <c r="H261" s="1171"/>
      <c r="I261" s="1171"/>
      <c r="J261" s="1171"/>
      <c r="K261" s="1171"/>
      <c r="L261" s="1171"/>
      <c r="M261" s="1171"/>
      <c r="N261" s="1171"/>
      <c r="O261" s="1172"/>
      <c r="P261" s="752"/>
      <c r="Q261" s="2"/>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3">
      <c r="A262" s="2"/>
      <c r="B262" s="1312"/>
      <c r="C262" s="1312"/>
      <c r="D262" s="1312"/>
      <c r="E262" s="1023"/>
      <c r="F262" s="1083"/>
      <c r="G262" s="1170" t="s">
        <v>980</v>
      </c>
      <c r="H262" s="1171"/>
      <c r="I262" s="1171"/>
      <c r="J262" s="1171"/>
      <c r="K262" s="1171"/>
      <c r="L262" s="1171"/>
      <c r="M262" s="1171"/>
      <c r="N262" s="1171"/>
      <c r="O262" s="1172"/>
      <c r="P262" s="752"/>
      <c r="Q262" s="2"/>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8" customHeight="1" x14ac:dyDescent="0.3">
      <c r="A263" s="2"/>
      <c r="B263" s="1312"/>
      <c r="C263" s="1312"/>
      <c r="D263" s="1312"/>
      <c r="E263" s="1023"/>
      <c r="F263" s="1083"/>
      <c r="G263" s="1222" t="s">
        <v>670</v>
      </c>
      <c r="H263" s="1223"/>
      <c r="I263" s="1223"/>
      <c r="J263" s="1223"/>
      <c r="K263" s="1223"/>
      <c r="L263" s="1223"/>
      <c r="M263" s="1223"/>
      <c r="N263" s="1223"/>
      <c r="O263" s="1236"/>
      <c r="P263" s="752"/>
      <c r="Q263" s="2"/>
      <c r="R263" s="555" t="b">
        <v>0</v>
      </c>
      <c r="S263" s="50">
        <f t="shared" si="14"/>
        <v>0</v>
      </c>
      <c r="T263" s="50">
        <f>SUM(S260:S263)</f>
        <v>0</v>
      </c>
      <c r="U263" s="10"/>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2" customHeight="1" x14ac:dyDescent="0.3">
      <c r="A264" s="2"/>
      <c r="B264" s="1169"/>
      <c r="C264" s="1169"/>
      <c r="D264" s="1169"/>
      <c r="E264" s="1169"/>
      <c r="F264" s="1169"/>
      <c r="G264" s="1169"/>
      <c r="H264" s="1169"/>
      <c r="I264" s="1169"/>
      <c r="J264" s="1169"/>
      <c r="K264" s="1169"/>
      <c r="L264" s="1169"/>
      <c r="M264" s="1169"/>
      <c r="N264" s="1169"/>
      <c r="O264" s="1169"/>
      <c r="P264" s="63"/>
      <c r="Q264" s="2"/>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17.25" customHeight="1" x14ac:dyDescent="0.3">
      <c r="A265" s="2"/>
      <c r="B265" s="984" t="s">
        <v>177</v>
      </c>
      <c r="C265" s="1161"/>
      <c r="D265" s="1161"/>
      <c r="E265" s="1161"/>
      <c r="F265" s="1161"/>
      <c r="G265" s="1161"/>
      <c r="H265" s="1161"/>
      <c r="I265" s="1161"/>
      <c r="J265" s="1161"/>
      <c r="K265" s="1161"/>
      <c r="L265" s="1161"/>
      <c r="M265" s="1161"/>
      <c r="N265" s="1161"/>
      <c r="O265" s="1161"/>
      <c r="P265" s="234"/>
      <c r="Q265" s="2"/>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39" customHeight="1" x14ac:dyDescent="0.3">
      <c r="A266" s="2"/>
      <c r="B266" s="767" t="s">
        <v>141</v>
      </c>
      <c r="C266" s="768"/>
      <c r="D266" s="768"/>
      <c r="E266" s="768"/>
      <c r="F266" s="768"/>
      <c r="G266" s="768"/>
      <c r="H266" s="768"/>
      <c r="I266" s="768"/>
      <c r="J266" s="768"/>
      <c r="K266" s="768"/>
      <c r="L266" s="768"/>
      <c r="M266" s="768"/>
      <c r="N266" s="768"/>
      <c r="O266" s="768"/>
      <c r="P266" s="233"/>
      <c r="Q266" s="2"/>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8" customHeight="1" x14ac:dyDescent="0.3">
      <c r="A267" s="15"/>
      <c r="B267" s="1222" t="s">
        <v>948</v>
      </c>
      <c r="C267" s="1223"/>
      <c r="D267" s="1223"/>
      <c r="E267" s="1223"/>
      <c r="F267" s="1223"/>
      <c r="G267" s="1223"/>
      <c r="H267" s="1223"/>
      <c r="I267" s="1223"/>
      <c r="J267" s="1223"/>
      <c r="K267" s="1223"/>
      <c r="L267" s="1223"/>
      <c r="M267" s="1223"/>
      <c r="N267" s="1219"/>
      <c r="O267" s="1220"/>
      <c r="P267" s="21">
        <f>IF(S267=1,0.05,0)</f>
        <v>0</v>
      </c>
      <c r="Q267" s="2"/>
      <c r="R267" s="50" t="s">
        <v>2223</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2" customHeight="1" x14ac:dyDescent="0.3">
      <c r="A268" s="2"/>
      <c r="B268" s="1233"/>
      <c r="C268" s="1233"/>
      <c r="D268" s="1233"/>
      <c r="E268" s="1233"/>
      <c r="F268" s="1233"/>
      <c r="G268" s="1233"/>
      <c r="H268" s="1233"/>
      <c r="I268" s="1233"/>
      <c r="J268" s="1233"/>
      <c r="K268" s="1233"/>
      <c r="L268" s="1233"/>
      <c r="M268" s="1233"/>
      <c r="N268" s="1233"/>
      <c r="O268" s="1233"/>
      <c r="P268" s="74"/>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8" customHeight="1" x14ac:dyDescent="0.3">
      <c r="A269" s="2"/>
      <c r="B269" s="925" t="s">
        <v>1162</v>
      </c>
      <c r="C269" s="925"/>
      <c r="D269" s="925"/>
      <c r="E269" s="925"/>
      <c r="F269" s="925"/>
      <c r="G269" s="925"/>
      <c r="H269" s="925"/>
      <c r="I269" s="925"/>
      <c r="J269" s="925"/>
      <c r="K269" s="925"/>
      <c r="L269" s="925"/>
      <c r="M269" s="925"/>
      <c r="N269" s="925"/>
      <c r="O269" s="925"/>
      <c r="P269" s="146"/>
      <c r="Q269" s="2"/>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3">
      <c r="A270" s="2"/>
      <c r="B270" s="292" t="s">
        <v>1163</v>
      </c>
      <c r="C270" s="1190">
        <f>IF(OR($R$270=1,$R$271=1),P33,0)</f>
        <v>0</v>
      </c>
      <c r="D270" s="1191"/>
      <c r="E270" s="1191"/>
      <c r="F270" s="1189" t="s">
        <v>1164</v>
      </c>
      <c r="G270" s="1189"/>
      <c r="H270" s="1189"/>
      <c r="I270" s="1189"/>
      <c r="J270" s="1189"/>
      <c r="K270" s="1189"/>
      <c r="L270" s="1190">
        <f>LETable!AJ48</f>
        <v>0</v>
      </c>
      <c r="M270" s="1190"/>
      <c r="N270" s="1189" t="s">
        <v>671</v>
      </c>
      <c r="O270" s="1189"/>
      <c r="P270" s="1188">
        <f>SUM(L270:L274)</f>
        <v>0</v>
      </c>
      <c r="Q270" s="2"/>
      <c r="R270" s="292">
        <f>IF(SUM($E$342:$E$366)&gt;0,1,0)</f>
        <v>0</v>
      </c>
      <c r="S270" s="971" t="s">
        <v>862</v>
      </c>
      <c r="T270" s="971"/>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3">
      <c r="A271" s="2"/>
      <c r="B271" s="292" t="s">
        <v>863</v>
      </c>
      <c r="C271" s="1190">
        <f>IF(OR($R$270=1,$R$271=1),P72,0)</f>
        <v>0</v>
      </c>
      <c r="D271" s="1191"/>
      <c r="E271" s="1191"/>
      <c r="F271" s="1189" t="s">
        <v>1164</v>
      </c>
      <c r="G271" s="1189"/>
      <c r="H271" s="1189"/>
      <c r="I271" s="1189"/>
      <c r="J271" s="1189"/>
      <c r="K271" s="1189"/>
      <c r="L271" s="1190">
        <f>LETable!AJ49</f>
        <v>0</v>
      </c>
      <c r="M271" s="1190"/>
      <c r="N271" s="1189" t="s">
        <v>671</v>
      </c>
      <c r="O271" s="1189"/>
      <c r="P271" s="1188"/>
      <c r="Q271" s="2"/>
      <c r="R271" s="50">
        <f>IF(SUM(E449:E470)&gt;0,1,0)</f>
        <v>0</v>
      </c>
      <c r="S271" s="806" t="s">
        <v>864</v>
      </c>
      <c r="T271" s="806"/>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3">
      <c r="A272" s="2"/>
      <c r="B272" s="292" t="s">
        <v>865</v>
      </c>
      <c r="C272" s="1190">
        <f>IF(OR($R$270=1,$R$271=1),P112,0)</f>
        <v>0</v>
      </c>
      <c r="D272" s="1191"/>
      <c r="E272" s="1191"/>
      <c r="F272" s="1189" t="s">
        <v>1164</v>
      </c>
      <c r="G272" s="1189"/>
      <c r="H272" s="1189"/>
      <c r="I272" s="1189"/>
      <c r="J272" s="1189"/>
      <c r="K272" s="1189"/>
      <c r="L272" s="1190">
        <f>LETable!AJ50</f>
        <v>0</v>
      </c>
      <c r="M272" s="1190"/>
      <c r="N272" s="1189" t="s">
        <v>671</v>
      </c>
      <c r="O272" s="1189"/>
      <c r="P272" s="1188"/>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3">
      <c r="A273" s="2"/>
      <c r="B273" s="292" t="s">
        <v>866</v>
      </c>
      <c r="C273" s="1190">
        <f>IF(OR($R$270=1,$R$271=1),P152,0)</f>
        <v>0</v>
      </c>
      <c r="D273" s="1191"/>
      <c r="E273" s="1191"/>
      <c r="F273" s="1189" t="s">
        <v>1164</v>
      </c>
      <c r="G273" s="1189"/>
      <c r="H273" s="1189"/>
      <c r="I273" s="1189"/>
      <c r="J273" s="1189"/>
      <c r="K273" s="1189"/>
      <c r="L273" s="1190">
        <f>LETable!AJ51</f>
        <v>0</v>
      </c>
      <c r="M273" s="1190"/>
      <c r="N273" s="1189" t="s">
        <v>671</v>
      </c>
      <c r="O273" s="1189"/>
      <c r="P273" s="1188"/>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5" customHeight="1" x14ac:dyDescent="0.3">
      <c r="A274" s="2"/>
      <c r="B274" s="292" t="s">
        <v>867</v>
      </c>
      <c r="C274" s="1190">
        <f>IF(OR($R$270=1,$R$271=1),P192,0)</f>
        <v>0</v>
      </c>
      <c r="D274" s="1191"/>
      <c r="E274" s="1191"/>
      <c r="F274" s="1189" t="s">
        <v>1164</v>
      </c>
      <c r="G274" s="1189"/>
      <c r="H274" s="1189"/>
      <c r="I274" s="1189"/>
      <c r="J274" s="1189"/>
      <c r="K274" s="1189"/>
      <c r="L274" s="1190">
        <f>LETable!AJ52</f>
        <v>0</v>
      </c>
      <c r="M274" s="1190"/>
      <c r="N274" s="1189" t="s">
        <v>671</v>
      </c>
      <c r="O274" s="1189"/>
      <c r="P274" s="1188"/>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8" customHeight="1" x14ac:dyDescent="0.3">
      <c r="A275" s="2"/>
      <c r="B275" s="36"/>
      <c r="C275" s="1218" t="s">
        <v>178</v>
      </c>
      <c r="D275" s="1218"/>
      <c r="E275" s="1218"/>
      <c r="F275" s="1218"/>
      <c r="G275" s="1218"/>
      <c r="H275" s="1218"/>
      <c r="I275" s="1218"/>
      <c r="J275" s="1218"/>
      <c r="K275" s="1218"/>
      <c r="L275" s="1218"/>
      <c r="M275" s="1218"/>
      <c r="N275" s="1218"/>
      <c r="O275" s="1218"/>
      <c r="P275" s="1188"/>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2" customHeight="1" x14ac:dyDescent="0.3">
      <c r="A276" s="2"/>
      <c r="B276" s="1169"/>
      <c r="C276" s="1169"/>
      <c r="D276" s="1169"/>
      <c r="E276" s="1169"/>
      <c r="F276" s="1169"/>
      <c r="G276" s="1169"/>
      <c r="H276" s="1169"/>
      <c r="I276" s="1169"/>
      <c r="J276" s="1169"/>
      <c r="K276" s="1169"/>
      <c r="L276" s="1169"/>
      <c r="M276" s="1169"/>
      <c r="N276" s="1169"/>
      <c r="O276" s="1169"/>
      <c r="P276" s="63"/>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8" customHeight="1" x14ac:dyDescent="0.3">
      <c r="A277" s="2"/>
      <c r="B277" s="947" t="s">
        <v>179</v>
      </c>
      <c r="C277" s="947"/>
      <c r="D277" s="947"/>
      <c r="E277" s="947"/>
      <c r="F277" s="947"/>
      <c r="G277" s="947"/>
      <c r="H277" s="947"/>
      <c r="I277" s="947"/>
      <c r="J277" s="947"/>
      <c r="K277" s="947"/>
      <c r="L277" s="947"/>
      <c r="M277" s="947"/>
      <c r="N277" s="947"/>
      <c r="O277" s="947"/>
      <c r="P277" s="947"/>
      <c r="Q277" s="2"/>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04.25" customHeight="1" x14ac:dyDescent="0.3">
      <c r="A278" s="2"/>
      <c r="B278" s="776" t="s">
        <v>2020</v>
      </c>
      <c r="C278" s="776"/>
      <c r="D278" s="776"/>
      <c r="E278" s="776"/>
      <c r="F278" s="776"/>
      <c r="G278" s="776"/>
      <c r="H278" s="776"/>
      <c r="I278" s="776"/>
      <c r="J278" s="776"/>
      <c r="K278" s="776"/>
      <c r="L278" s="776"/>
      <c r="M278" s="776"/>
      <c r="N278" s="776"/>
      <c r="O278" s="776"/>
      <c r="P278" s="776"/>
      <c r="Q278" s="2"/>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607"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3">
      <c r="A279" s="2"/>
      <c r="B279" s="925"/>
      <c r="C279" s="925"/>
      <c r="D279" s="925"/>
      <c r="E279" s="925"/>
      <c r="F279" s="925"/>
      <c r="G279" s="925"/>
      <c r="H279" s="925"/>
      <c r="I279" s="925"/>
      <c r="J279" s="925"/>
      <c r="K279" s="925"/>
      <c r="L279" s="925"/>
      <c r="M279" s="927" t="s">
        <v>1685</v>
      </c>
      <c r="N279" s="1017" t="s">
        <v>1686</v>
      </c>
      <c r="O279" s="1017"/>
      <c r="P279" s="1017"/>
      <c r="Q279" s="2"/>
      <c r="R279" s="613"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582">
        <v>1</v>
      </c>
      <c r="AI279" s="596"/>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3">
      <c r="A280" s="2"/>
      <c r="B280" s="776" t="s">
        <v>1687</v>
      </c>
      <c r="C280" s="776"/>
      <c r="D280" s="776"/>
      <c r="E280" s="776"/>
      <c r="F280" s="776"/>
      <c r="G280" s="776"/>
      <c r="H280" s="776"/>
      <c r="I280" s="776"/>
      <c r="J280" s="776"/>
      <c r="K280" s="776"/>
      <c r="L280" s="776"/>
      <c r="M280" s="927"/>
      <c r="N280" s="390" t="s">
        <v>1688</v>
      </c>
      <c r="O280" s="390" t="s">
        <v>1689</v>
      </c>
      <c r="P280" s="390" t="s">
        <v>1690</v>
      </c>
      <c r="Q280" s="2"/>
      <c r="R280" s="1141" t="s">
        <v>2224</v>
      </c>
      <c r="S280" s="1342"/>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3">
      <c r="A281" s="15"/>
      <c r="B281" s="1228"/>
      <c r="C281" s="1228"/>
      <c r="D281" s="1228"/>
      <c r="E281" s="391"/>
      <c r="F281" s="927" t="s">
        <v>1696</v>
      </c>
      <c r="G281" s="927"/>
      <c r="H281" s="927"/>
      <c r="I281" s="927"/>
      <c r="J281" s="927"/>
      <c r="K281" s="927"/>
      <c r="L281" s="927"/>
      <c r="M281" s="76">
        <f>IF(S281=0,0,0.2)</f>
        <v>0</v>
      </c>
      <c r="N281" s="205"/>
      <c r="O281" s="205"/>
      <c r="P281" s="294" t="str">
        <f>IF(X281=0,"",X281)</f>
        <v/>
      </c>
      <c r="Q281" s="2"/>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3">
      <c r="A282" s="2"/>
      <c r="B282" s="1228"/>
      <c r="C282" s="1228"/>
      <c r="D282" s="1228"/>
      <c r="E282" s="391"/>
      <c r="F282" s="927" t="s">
        <v>1697</v>
      </c>
      <c r="G282" s="927"/>
      <c r="H282" s="927"/>
      <c r="I282" s="927"/>
      <c r="J282" s="927"/>
      <c r="K282" s="927"/>
      <c r="L282" s="927"/>
      <c r="M282" s="76">
        <f>IF(S282=0,0,0.2)</f>
        <v>0</v>
      </c>
      <c r="N282" s="205"/>
      <c r="O282" s="205"/>
      <c r="P282" s="294" t="str">
        <f>IF(X282=0,"",X282)</f>
        <v/>
      </c>
      <c r="Q282" s="2"/>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3">
      <c r="A283" s="2"/>
      <c r="B283" s="1228"/>
      <c r="C283" s="1228"/>
      <c r="D283" s="1228"/>
      <c r="E283" s="391"/>
      <c r="F283" s="927" t="s">
        <v>1698</v>
      </c>
      <c r="G283" s="927"/>
      <c r="H283" s="927"/>
      <c r="I283" s="927"/>
      <c r="J283" s="927"/>
      <c r="K283" s="927"/>
      <c r="L283" s="927"/>
      <c r="M283" s="76">
        <f>IF(S283=0,0,0.34)</f>
        <v>0</v>
      </c>
      <c r="N283" s="205"/>
      <c r="O283" s="205"/>
      <c r="P283" s="294" t="str">
        <f>IF(X283=0,"",X283)</f>
        <v/>
      </c>
      <c r="Q283" s="2"/>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3">
      <c r="A284" s="2"/>
      <c r="B284" s="1228"/>
      <c r="C284" s="1228"/>
      <c r="D284" s="1228"/>
      <c r="E284" s="391"/>
      <c r="F284" s="927" t="s">
        <v>1699</v>
      </c>
      <c r="G284" s="927"/>
      <c r="H284" s="927"/>
      <c r="I284" s="927"/>
      <c r="J284" s="927"/>
      <c r="K284" s="927"/>
      <c r="L284" s="927"/>
      <c r="M284" s="76">
        <f>IF(S284=0,0,0.37)</f>
        <v>0</v>
      </c>
      <c r="N284" s="205"/>
      <c r="O284" s="205"/>
      <c r="P284" s="294" t="str">
        <f>IF(X284=0,"",X284)</f>
        <v/>
      </c>
      <c r="Q284" s="2"/>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5" customHeight="1" x14ac:dyDescent="0.3">
      <c r="A285" s="2"/>
      <c r="B285" s="1228"/>
      <c r="C285" s="1228"/>
      <c r="D285" s="1228"/>
      <c r="E285" s="391"/>
      <c r="F285" s="927" t="s">
        <v>1700</v>
      </c>
      <c r="G285" s="927"/>
      <c r="H285" s="927"/>
      <c r="I285" s="927"/>
      <c r="J285" s="927"/>
      <c r="K285" s="927"/>
      <c r="L285" s="927"/>
      <c r="M285" s="76">
        <f>IF(S285=0,0,0.2)</f>
        <v>0</v>
      </c>
      <c r="N285" s="205"/>
      <c r="O285" s="205"/>
      <c r="P285" s="294" t="str">
        <f>IF(X285=0,"",X285)</f>
        <v/>
      </c>
      <c r="Q285" s="2"/>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18" customHeight="1" x14ac:dyDescent="0.3">
      <c r="A286" s="2"/>
      <c r="B286" s="950" t="s">
        <v>1701</v>
      </c>
      <c r="C286" s="950"/>
      <c r="D286" s="950"/>
      <c r="E286" s="776"/>
      <c r="F286" s="776"/>
      <c r="G286" s="776"/>
      <c r="H286" s="776"/>
      <c r="I286" s="776"/>
      <c r="J286" s="776"/>
      <c r="K286" s="776"/>
      <c r="L286" s="776"/>
      <c r="M286" s="392"/>
      <c r="N286" s="390"/>
      <c r="O286" s="390"/>
      <c r="P286" s="390"/>
      <c r="Q286" s="2"/>
      <c r="R286" s="129"/>
      <c r="S286" s="98"/>
      <c r="T286" s="147" t="s">
        <v>1688</v>
      </c>
      <c r="U286" s="147" t="s">
        <v>1596</v>
      </c>
      <c r="V286" s="147" t="s">
        <v>1691</v>
      </c>
      <c r="W286" s="147" t="s">
        <v>1692</v>
      </c>
      <c r="X286" s="147" t="s">
        <v>1693</v>
      </c>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27" customHeight="1" x14ac:dyDescent="0.3">
      <c r="A287" s="2"/>
      <c r="B287" s="453" t="s">
        <v>1702</v>
      </c>
      <c r="C287" s="469"/>
      <c r="D287" s="454"/>
      <c r="E287" s="266"/>
      <c r="F287" s="1179" t="str">
        <f>IF(Z295=1,"","Sciatic nerve; overall loss at level shown; no averaging")</f>
        <v>Sciatic nerve; overall loss at level shown; no averaging</v>
      </c>
      <c r="G287" s="1179"/>
      <c r="H287" s="1179"/>
      <c r="I287" s="1179"/>
      <c r="J287" s="1179"/>
      <c r="K287" s="1179"/>
      <c r="L287" s="1179"/>
      <c r="M287" s="76">
        <f>IF(OR(F287="",S287=0),0,IF($Z$295=2,0.75,IF($Z$295=3,0.4,0)))</f>
        <v>0</v>
      </c>
      <c r="N287" s="205"/>
      <c r="O287" s="205"/>
      <c r="P287" s="294" t="str">
        <f>IF(X287=0,"",X287)</f>
        <v/>
      </c>
      <c r="Q287" s="2"/>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3">
      <c r="A288" s="2"/>
      <c r="B288" s="467"/>
      <c r="C288" s="39"/>
      <c r="D288" s="470"/>
      <c r="E288" s="468"/>
      <c r="F288" s="806" t="str">
        <f>IF(OR(Z295=1,S287=1),"","Biceps femoris (long head)")</f>
        <v>Biceps femoris (long head)</v>
      </c>
      <c r="G288" s="806"/>
      <c r="H288" s="806"/>
      <c r="I288" s="806"/>
      <c r="J288" s="806"/>
      <c r="K288" s="806"/>
      <c r="L288" s="806"/>
      <c r="M288" s="76">
        <f>IF(OR(F288="",S288=0),0,IF($Z$295=2,0.75,IF($Z$295=3,0.4,0)))</f>
        <v>0</v>
      </c>
      <c r="N288" s="205"/>
      <c r="O288" s="205"/>
      <c r="P288" s="294" t="str">
        <f>IF(X288=0,"",X288)</f>
        <v/>
      </c>
      <c r="Q288" s="2"/>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3">
      <c r="A289" s="2"/>
      <c r="B289" s="467"/>
      <c r="C289" s="39"/>
      <c r="D289" s="470"/>
      <c r="E289" s="468"/>
      <c r="F289" s="806" t="str">
        <f>IF(OR(S287=1,Z295=1),"","Biceps femoris (short head)")</f>
        <v>Biceps femoris (short head)</v>
      </c>
      <c r="G289" s="806"/>
      <c r="H289" s="806"/>
      <c r="I289" s="806"/>
      <c r="J289" s="806"/>
      <c r="K289" s="806"/>
      <c r="L289" s="806"/>
      <c r="M289" s="76">
        <f>IF(OR(F289="",S289=0),0,IF($Z$295=2,0.75,IF($Z$295=3,0.4,0)))</f>
        <v>0</v>
      </c>
      <c r="N289" s="205"/>
      <c r="O289" s="205"/>
      <c r="P289" s="294" t="str">
        <f>IF(X289=0,"",X289)</f>
        <v/>
      </c>
      <c r="Q289" s="2"/>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3">
      <c r="A290" s="2"/>
      <c r="B290" s="467"/>
      <c r="C290" s="39"/>
      <c r="D290" s="470"/>
      <c r="E290" s="468"/>
      <c r="F290" s="806" t="str">
        <f>IF(OR(Z295=1,S287=1),"","Semitendinosus")</f>
        <v>Semitendinosus</v>
      </c>
      <c r="G290" s="806"/>
      <c r="H290" s="806"/>
      <c r="I290" s="806"/>
      <c r="J290" s="806"/>
      <c r="K290" s="806"/>
      <c r="L290" s="806"/>
      <c r="M290" s="76">
        <f>IF(OR(F290="",S290=0),0,IF($Z$295=2,0.75,IF($Z$295=3,0.4,0)))</f>
        <v>0</v>
      </c>
      <c r="N290" s="205"/>
      <c r="O290" s="205"/>
      <c r="P290" s="294" t="str">
        <f>IF(X290=0,"",X290)</f>
        <v/>
      </c>
      <c r="Q290" s="2"/>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5" customHeight="1" x14ac:dyDescent="0.3">
      <c r="A291" s="2"/>
      <c r="B291" s="285"/>
      <c r="C291" s="183"/>
      <c r="D291" s="455"/>
      <c r="E291" s="468"/>
      <c r="F291" s="806" t="str">
        <f>IF(OR(Z295=1,S287=1),"","Semimembranosus")</f>
        <v>Semimembranosus</v>
      </c>
      <c r="G291" s="806"/>
      <c r="H291" s="806"/>
      <c r="I291" s="806"/>
      <c r="J291" s="806"/>
      <c r="K291" s="806"/>
      <c r="L291" s="806"/>
      <c r="M291" s="76">
        <f>IF(OR(F291="",S291=0),0,IF($Z$295=2,0.75,IF($Z$295=3,0.4,0)))</f>
        <v>0</v>
      </c>
      <c r="N291" s="205"/>
      <c r="O291" s="205"/>
      <c r="P291" s="294" t="str">
        <f>IF(X291=0,"",X291)</f>
        <v/>
      </c>
      <c r="Q291" s="2"/>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18" customHeight="1" x14ac:dyDescent="0.3">
      <c r="A292" s="2"/>
      <c r="B292" s="1227"/>
      <c r="C292" s="1227"/>
      <c r="D292" s="1227"/>
      <c r="E292" s="1228"/>
      <c r="F292" s="1228"/>
      <c r="G292" s="1228"/>
      <c r="H292" s="1228"/>
      <c r="I292" s="1228"/>
      <c r="J292" s="1228"/>
      <c r="K292" s="1228"/>
      <c r="L292" s="1228"/>
      <c r="M292" s="393"/>
      <c r="N292" s="1196" t="str">
        <f>IF(M287&gt;0,"Total:",IF(AND(M287=0,P292&gt;0),"Average:",""))</f>
        <v/>
      </c>
      <c r="O292" s="1196"/>
      <c r="P292" s="191">
        <f>IF(AND(P287="",P288="",P289="",P290="",P291=""),0,AVERAGE(P287:P291))</f>
        <v>0</v>
      </c>
      <c r="Q292" s="2"/>
      <c r="R292" s="10"/>
      <c r="S292" s="98"/>
      <c r="T292" s="147" t="s">
        <v>1688</v>
      </c>
      <c r="U292" s="147" t="s">
        <v>1596</v>
      </c>
      <c r="V292" s="147" t="s">
        <v>1691</v>
      </c>
      <c r="W292" s="147" t="s">
        <v>1692</v>
      </c>
      <c r="X292" s="147" t="s">
        <v>1693</v>
      </c>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27" customHeight="1" x14ac:dyDescent="0.3">
      <c r="A293" s="2"/>
      <c r="B293" s="776" t="s">
        <v>981</v>
      </c>
      <c r="C293" s="776"/>
      <c r="D293" s="776"/>
      <c r="E293" s="372"/>
      <c r="F293" s="1179" t="str">
        <f>IF(OR(Z296=1,Z296=7),"","Peroneal - overall loss at level shown")</f>
        <v/>
      </c>
      <c r="G293" s="1179"/>
      <c r="H293" s="1179"/>
      <c r="I293" s="1179"/>
      <c r="J293" s="1179"/>
      <c r="K293" s="1179"/>
      <c r="L293" s="1179"/>
      <c r="M293" s="76">
        <f t="shared" ref="M293:M298" si="18">IF(OR(F293="",S293=0),0,IF($Z$296=2,0.39,IF(OR($Z$296=3,$Z$296=4),0.28,IF(OR($Z$296=5,$Z$296=6),0.06,0))))</f>
        <v>0</v>
      </c>
      <c r="N293" s="205"/>
      <c r="O293" s="205"/>
      <c r="P293" s="294" t="str">
        <f t="shared" ref="P293:P298" si="19">IF(X293=0,"",X293)</f>
        <v/>
      </c>
      <c r="Q293" s="2"/>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3">
      <c r="A294" s="2"/>
      <c r="B294" s="776"/>
      <c r="C294" s="776"/>
      <c r="D294" s="776"/>
      <c r="E294" s="372"/>
      <c r="F294" s="1221" t="str">
        <f>IF(OR(Z296=1,Z296=7,S293=1),"","Tibialis anterior")</f>
        <v/>
      </c>
      <c r="G294" s="1221"/>
      <c r="H294" s="1221"/>
      <c r="I294" s="1221"/>
      <c r="J294" s="1221"/>
      <c r="K294" s="1221"/>
      <c r="L294" s="1221"/>
      <c r="M294" s="76">
        <f t="shared" si="18"/>
        <v>0</v>
      </c>
      <c r="N294" s="205"/>
      <c r="O294" s="205"/>
      <c r="P294" s="294" t="str">
        <f t="shared" si="19"/>
        <v/>
      </c>
      <c r="Q294" s="2"/>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3">
      <c r="A295" s="2"/>
      <c r="B295" s="776"/>
      <c r="C295" s="776"/>
      <c r="D295" s="776"/>
      <c r="E295" s="372"/>
      <c r="F295" s="806" t="str">
        <f>IF(OR(Z296=1,Z296=7,S293=1),"","Extensor hallucis longus")</f>
        <v/>
      </c>
      <c r="G295" s="806"/>
      <c r="H295" s="806"/>
      <c r="I295" s="806"/>
      <c r="J295" s="806"/>
      <c r="K295" s="806"/>
      <c r="L295" s="806"/>
      <c r="M295" s="76">
        <f t="shared" si="18"/>
        <v>0</v>
      </c>
      <c r="N295" s="205"/>
      <c r="O295" s="205"/>
      <c r="P295" s="294" t="str">
        <f t="shared" si="19"/>
        <v/>
      </c>
      <c r="Q295" s="2"/>
      <c r="R295" s="586" t="b">
        <v>0</v>
      </c>
      <c r="S295" s="578">
        <f t="shared" si="20"/>
        <v>0</v>
      </c>
      <c r="T295" s="588">
        <f t="shared" si="21"/>
        <v>0</v>
      </c>
      <c r="U295" s="588">
        <f t="shared" si="22"/>
        <v>0</v>
      </c>
      <c r="V295" s="588">
        <f t="shared" si="23"/>
        <v>0</v>
      </c>
      <c r="W295" s="588">
        <f t="shared" si="24"/>
        <v>0</v>
      </c>
      <c r="X295" s="588">
        <f t="shared" si="25"/>
        <v>0</v>
      </c>
      <c r="Y295" s="14"/>
      <c r="Z295" s="555">
        <v>2</v>
      </c>
      <c r="AA295" s="806" t="s">
        <v>810</v>
      </c>
      <c r="AB295" s="806"/>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3">
      <c r="A296" s="2"/>
      <c r="B296" s="776"/>
      <c r="C296" s="776"/>
      <c r="D296" s="776"/>
      <c r="E296" s="372"/>
      <c r="F296" s="1221" t="str">
        <f>IF(OR(Z296=1,Z296=7,S293=1),"","Extensor digitorum longus")</f>
        <v/>
      </c>
      <c r="G296" s="1221"/>
      <c r="H296" s="1221"/>
      <c r="I296" s="1221"/>
      <c r="J296" s="1221"/>
      <c r="K296" s="1221"/>
      <c r="L296" s="1221"/>
      <c r="M296" s="76">
        <f t="shared" si="18"/>
        <v>0</v>
      </c>
      <c r="N296" s="205"/>
      <c r="O296" s="205"/>
      <c r="P296" s="294" t="str">
        <f t="shared" si="19"/>
        <v/>
      </c>
      <c r="Q296" s="2"/>
      <c r="R296" s="586" t="b">
        <v>0</v>
      </c>
      <c r="S296" s="578">
        <f t="shared" si="20"/>
        <v>0</v>
      </c>
      <c r="T296" s="588">
        <f t="shared" si="21"/>
        <v>0</v>
      </c>
      <c r="U296" s="588">
        <f t="shared" si="22"/>
        <v>0</v>
      </c>
      <c r="V296" s="588">
        <f t="shared" si="23"/>
        <v>0</v>
      </c>
      <c r="W296" s="588">
        <f t="shared" si="24"/>
        <v>0</v>
      </c>
      <c r="X296" s="588">
        <f t="shared" si="25"/>
        <v>0</v>
      </c>
      <c r="Y296" s="10"/>
      <c r="Z296" s="555">
        <v>7</v>
      </c>
      <c r="AA296" s="1140" t="s">
        <v>811</v>
      </c>
      <c r="AB296" s="1140"/>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3">
      <c r="A297" s="2"/>
      <c r="B297" s="776"/>
      <c r="C297" s="776"/>
      <c r="D297" s="776"/>
      <c r="E297" s="372"/>
      <c r="F297" s="806" t="str">
        <f>IF(OR(Z296=1,Z296=7,S293=1),"","Peroneus tertius")</f>
        <v/>
      </c>
      <c r="G297" s="806"/>
      <c r="H297" s="806"/>
      <c r="I297" s="806"/>
      <c r="J297" s="806"/>
      <c r="K297" s="806"/>
      <c r="L297" s="806"/>
      <c r="M297" s="76">
        <f t="shared" si="18"/>
        <v>0</v>
      </c>
      <c r="N297" s="205"/>
      <c r="O297" s="205"/>
      <c r="P297" s="294" t="str">
        <f t="shared" si="19"/>
        <v/>
      </c>
      <c r="Q297" s="2"/>
      <c r="R297" s="586" t="b">
        <v>0</v>
      </c>
      <c r="S297" s="578">
        <f t="shared" si="20"/>
        <v>0</v>
      </c>
      <c r="T297" s="588">
        <f t="shared" si="21"/>
        <v>0</v>
      </c>
      <c r="U297" s="588">
        <f t="shared" si="22"/>
        <v>0</v>
      </c>
      <c r="V297" s="588">
        <f t="shared" si="23"/>
        <v>0</v>
      </c>
      <c r="W297" s="588">
        <f t="shared" si="24"/>
        <v>0</v>
      </c>
      <c r="X297" s="588">
        <f t="shared" si="25"/>
        <v>0</v>
      </c>
      <c r="Y297" s="62"/>
      <c r="Z297" s="609">
        <v>2</v>
      </c>
      <c r="AA297" s="1176" t="s">
        <v>1024</v>
      </c>
      <c r="AB297" s="117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3">
      <c r="A298" s="2"/>
      <c r="B298" s="776"/>
      <c r="C298" s="776"/>
      <c r="D298" s="776"/>
      <c r="E298" s="372"/>
      <c r="F298" s="1221" t="str">
        <f>IF(OR(Z296=1,Z296=7,S293=1),"","Extensor digitorum brevis")</f>
        <v/>
      </c>
      <c r="G298" s="1221"/>
      <c r="H298" s="1221"/>
      <c r="I298" s="1221"/>
      <c r="J298" s="1221"/>
      <c r="K298" s="1221"/>
      <c r="L298" s="1221"/>
      <c r="M298" s="76">
        <f t="shared" si="18"/>
        <v>0</v>
      </c>
      <c r="N298" s="205"/>
      <c r="O298" s="205"/>
      <c r="P298" s="294" t="str">
        <f t="shared" si="19"/>
        <v/>
      </c>
      <c r="Q298" s="2"/>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15" customHeight="1" x14ac:dyDescent="0.3">
      <c r="A299" s="2"/>
      <c r="B299" s="776"/>
      <c r="C299" s="776"/>
      <c r="D299" s="776"/>
      <c r="E299" s="394"/>
      <c r="F299" s="958" t="str">
        <f>IF(OR(Z296=1,Z296=2,Z296=3,Z296=5,Z296=7),"",IF(OR(Z296=4,Z296=6),"Total for peroneal except superficial; FOOT impairment:",""))</f>
        <v/>
      </c>
      <c r="G299" s="958"/>
      <c r="H299" s="958"/>
      <c r="I299" s="958"/>
      <c r="J299" s="958"/>
      <c r="K299" s="958"/>
      <c r="L299" s="958"/>
      <c r="M299" s="958"/>
      <c r="N299" s="958"/>
      <c r="O299" s="958"/>
      <c r="P299" s="191" t="str">
        <f>IF(F299="","",IF(AND(P293="",P294="",P295="",P296="",P297="",P298=""),0,IF(Z296&lt;&gt;2,AVERAGE(P293:P298),"")))</f>
        <v/>
      </c>
      <c r="Q299" s="2"/>
      <c r="R299" s="129"/>
      <c r="S299" s="98"/>
      <c r="T299" s="147" t="s">
        <v>1688</v>
      </c>
      <c r="U299" s="147" t="s">
        <v>1596</v>
      </c>
      <c r="V299" s="147" t="s">
        <v>1691</v>
      </c>
      <c r="W299" s="147" t="s">
        <v>1692</v>
      </c>
      <c r="X299" s="147" t="s">
        <v>1693</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25.5" customHeight="1" x14ac:dyDescent="0.3">
      <c r="A300" s="2"/>
      <c r="B300" s="776"/>
      <c r="C300" s="776"/>
      <c r="D300" s="776"/>
      <c r="E300" s="372"/>
      <c r="F300" s="776" t="str">
        <f>IF(OR(Z296=1,Z296=2,Z296=3,Z296=5),"","Superficial peroneal
overall loss; no averaging")</f>
        <v>Superficial peroneal
overall loss; no averaging</v>
      </c>
      <c r="G300" s="776"/>
      <c r="H300" s="776"/>
      <c r="I300" s="776"/>
      <c r="J300" s="776"/>
      <c r="K300" s="776"/>
      <c r="L300" s="776"/>
      <c r="M300" s="76">
        <f>IF(OR(F300="",S300=0),0,IF(Z296=2,0.39,0.11))</f>
        <v>0</v>
      </c>
      <c r="N300" s="205"/>
      <c r="O300" s="205"/>
      <c r="P300" s="294" t="str">
        <f>IF(X300=0,"",X300)</f>
        <v/>
      </c>
      <c r="Q300" s="2"/>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87"/>
      <c r="BB300" s="87"/>
      <c r="BC300" s="87"/>
      <c r="BD300" s="87"/>
      <c r="BE300" s="87"/>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3">
      <c r="A301" s="2"/>
      <c r="B301" s="776"/>
      <c r="C301" s="776"/>
      <c r="D301" s="776"/>
      <c r="E301" s="372"/>
      <c r="F301" s="806" t="str">
        <f>IF(AND(Z296=2,S293=1),"",IF(S300=1,"",IF(OR(Z296=2,Z296=4,Z296=6,Z296=7),"Peroneus longus","")))</f>
        <v>Peroneus longus</v>
      </c>
      <c r="G301" s="806"/>
      <c r="H301" s="806"/>
      <c r="I301" s="806"/>
      <c r="J301" s="806"/>
      <c r="K301" s="806"/>
      <c r="L301" s="806"/>
      <c r="M301" s="76">
        <f>IF(OR(F301="",S301=0,Z296=3,Z296=5),0,IF(Z296=2,0.39,0.11))</f>
        <v>0</v>
      </c>
      <c r="N301" s="205"/>
      <c r="O301" s="205"/>
      <c r="P301" s="294" t="str">
        <f>IF(X301=0,"",X301)</f>
        <v/>
      </c>
      <c r="Q301" s="2"/>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3">
      <c r="A302" s="2"/>
      <c r="B302" s="776"/>
      <c r="C302" s="776"/>
      <c r="D302" s="776"/>
      <c r="E302" s="372"/>
      <c r="F302" s="1221" t="str">
        <f>IF(AND(Z296=2,S293=1),"",IF(S300=1,"",IF(OR(Z296=2,Z296=4,Z296=6,Z296=7),"Peroneus brevis","")))</f>
        <v>Peroneus brevis</v>
      </c>
      <c r="G302" s="1221"/>
      <c r="H302" s="1221"/>
      <c r="I302" s="1221"/>
      <c r="J302" s="1221"/>
      <c r="K302" s="1221"/>
      <c r="L302" s="1221"/>
      <c r="M302" s="76">
        <f>IF(OR(F302="",S302=0,Z296=3,Z296=5),0,IF(Z296=2,0.39,0.11))</f>
        <v>0</v>
      </c>
      <c r="N302" s="205"/>
      <c r="O302" s="205"/>
      <c r="P302" s="294" t="str">
        <f>IF(X302=0,"",X302)</f>
        <v/>
      </c>
      <c r="Q302" s="2"/>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5" customHeight="1" x14ac:dyDescent="0.3">
      <c r="A303" s="2"/>
      <c r="B303" s="1099" t="str">
        <f>IF(Z296=1,"",IF(OR(Z296=2,Z296=3,Z296=5),"Total for peroneal; FOOT impairment:",IF(OR(Z296=4,Z296=6,Z296=7),"Total for superficial peroneal; FOOT impairment:","")))</f>
        <v>Total for superficial peroneal; FOOT impairment:</v>
      </c>
      <c r="C303" s="1100"/>
      <c r="D303" s="1100"/>
      <c r="E303" s="1100"/>
      <c r="F303" s="1100"/>
      <c r="G303" s="1100"/>
      <c r="H303" s="1100"/>
      <c r="I303" s="1100"/>
      <c r="J303" s="1100"/>
      <c r="K303" s="1100"/>
      <c r="L303" s="1100"/>
      <c r="M303" s="1100"/>
      <c r="N303" s="1100"/>
      <c r="O303" s="1101"/>
      <c r="P303" s="294">
        <f>IF(T303=0,0,IF(Z296=2,AVERAGE(P293:P302),IF(OR(Z296=3,Z296=5),AVERAGE(P293:P298),IF(AND(P300="",P301="",P302=""),0,IF(OR(Z296=4,Z296=6,Z296=7),AVERAGE(P300:P302))))))</f>
        <v>0</v>
      </c>
      <c r="Q303" s="2"/>
      <c r="R303" s="557" t="s">
        <v>1719</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3">
      <c r="A304" s="2"/>
      <c r="B304" s="1195"/>
      <c r="C304" s="1195"/>
      <c r="D304" s="1195"/>
      <c r="E304" s="1195"/>
      <c r="F304" s="1195"/>
      <c r="G304" s="1195"/>
      <c r="H304" s="1195"/>
      <c r="I304" s="1195"/>
      <c r="J304" s="1195"/>
      <c r="K304" s="1195"/>
      <c r="L304" s="1195"/>
      <c r="M304" s="1195"/>
      <c r="N304" s="1195"/>
      <c r="O304" s="1195"/>
      <c r="P304" s="1195"/>
      <c r="Q304" s="2"/>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2" customHeight="1" x14ac:dyDescent="0.3">
      <c r="A305" s="2"/>
      <c r="B305" s="1195"/>
      <c r="C305" s="1195"/>
      <c r="D305" s="1195"/>
      <c r="E305" s="1195"/>
      <c r="F305" s="1195"/>
      <c r="G305" s="1195"/>
      <c r="H305" s="1195"/>
      <c r="I305" s="1195"/>
      <c r="J305" s="1195"/>
      <c r="K305" s="1195"/>
      <c r="L305" s="1195"/>
      <c r="M305" s="1195"/>
      <c r="N305" s="1195"/>
      <c r="O305" s="1195"/>
      <c r="P305" s="1195"/>
      <c r="Q305" s="2"/>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5" customHeight="1" x14ac:dyDescent="0.3">
      <c r="A306" s="2"/>
      <c r="B306" s="1228"/>
      <c r="C306" s="1228"/>
      <c r="D306" s="1228"/>
      <c r="E306" s="1228"/>
      <c r="F306" s="1228"/>
      <c r="G306" s="1228"/>
      <c r="H306" s="1228"/>
      <c r="I306" s="1228"/>
      <c r="J306" s="1228"/>
      <c r="K306" s="1228"/>
      <c r="L306" s="1228"/>
      <c r="M306" s="1228"/>
      <c r="N306" s="1243" t="s">
        <v>1686</v>
      </c>
      <c r="O306" s="1243"/>
      <c r="P306" s="1243"/>
      <c r="Q306" s="2"/>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18" customHeight="1" x14ac:dyDescent="0.3">
      <c r="A307" s="2"/>
      <c r="B307" s="833" t="s">
        <v>421</v>
      </c>
      <c r="C307" s="713"/>
      <c r="D307" s="713"/>
      <c r="E307" s="768"/>
      <c r="F307" s="768"/>
      <c r="G307" s="768"/>
      <c r="H307" s="768"/>
      <c r="I307" s="768"/>
      <c r="J307" s="768"/>
      <c r="K307" s="768"/>
      <c r="L307" s="768"/>
      <c r="M307" s="769"/>
      <c r="N307" s="390" t="s">
        <v>1688</v>
      </c>
      <c r="O307" s="390" t="s">
        <v>1689</v>
      </c>
      <c r="P307" s="390" t="s">
        <v>1690</v>
      </c>
      <c r="Q307" s="2"/>
      <c r="R307" s="129"/>
      <c r="S307" s="98"/>
      <c r="T307" s="147" t="s">
        <v>1688</v>
      </c>
      <c r="U307" s="147" t="s">
        <v>1596</v>
      </c>
      <c r="V307" s="147" t="s">
        <v>1691</v>
      </c>
      <c r="W307" s="147" t="s">
        <v>1692</v>
      </c>
      <c r="X307" s="147"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27" customHeight="1" x14ac:dyDescent="0.3">
      <c r="A308" s="2"/>
      <c r="B308" s="453" t="s">
        <v>422</v>
      </c>
      <c r="C308" s="469"/>
      <c r="D308" s="454"/>
      <c r="E308" s="468"/>
      <c r="F308" s="1179" t="str">
        <f>IF(Z297=1,"","Tibial - overall loss at level shown; no averaging")</f>
        <v>Tibial - overall loss at level shown; no averaging</v>
      </c>
      <c r="G308" s="1179"/>
      <c r="H308" s="1179"/>
      <c r="I308" s="1179"/>
      <c r="J308" s="1179"/>
      <c r="K308" s="1179"/>
      <c r="L308" s="1179"/>
      <c r="M308" s="76">
        <f>IF(OR(F308="",S308=0),0,IF($Z$297=2,0.35,IF($Z$297=3,0.28,IF($Z$297=4,0.17,IF($Z$297=5,"See
below",IF(OR($Z$297=6,$Z$297=7),0.06,0))))))</f>
        <v>0</v>
      </c>
      <c r="N308" s="205"/>
      <c r="O308" s="205"/>
      <c r="P308" s="294" t="str">
        <f>IF(AND(S308=1,Z297=5),"",IF(X308=0,"",X308))</f>
        <v/>
      </c>
      <c r="Q308" s="2"/>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3">
      <c r="A309" s="2"/>
      <c r="B309" s="467"/>
      <c r="C309" s="39"/>
      <c r="D309" s="470"/>
      <c r="E309" s="468"/>
      <c r="F309" s="1221" t="str">
        <f>IF(OR(S308=1,Z297=1,Z297=5,Z297=6,Z297=7),"","Gastrocnemius")</f>
        <v>Gastrocnemius</v>
      </c>
      <c r="G309" s="1221"/>
      <c r="H309" s="1221"/>
      <c r="I309" s="1221"/>
      <c r="J309" s="1221"/>
      <c r="K309" s="1221"/>
      <c r="L309" s="1221"/>
      <c r="M309" s="76">
        <f t="shared" ref="M309:M315" si="30">IF(OR(F309="",S309=0),0,IF($Z$297=2,0.35,IF($Z$297=3,0.28,IF($Z$297=4,0.17,0))))</f>
        <v>0</v>
      </c>
      <c r="N309" s="205"/>
      <c r="O309" s="205"/>
      <c r="P309" s="294" t="str">
        <f>IF(X309=0,"",X309)</f>
        <v/>
      </c>
      <c r="Q309" s="2"/>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3">
      <c r="A310" s="2"/>
      <c r="B310" s="467"/>
      <c r="C310" s="39"/>
      <c r="D310" s="470"/>
      <c r="E310" s="468"/>
      <c r="F310" s="806" t="str">
        <f>IF(OR(S308=1,Z297=1,Z297=5,Z297=6,Z297=7),"","Plantaris")</f>
        <v>Plantaris</v>
      </c>
      <c r="G310" s="806"/>
      <c r="H310" s="806"/>
      <c r="I310" s="806"/>
      <c r="J310" s="806"/>
      <c r="K310" s="806"/>
      <c r="L310" s="806"/>
      <c r="M310" s="76">
        <f t="shared" si="30"/>
        <v>0</v>
      </c>
      <c r="N310" s="205"/>
      <c r="O310" s="205"/>
      <c r="P310" s="294" t="str">
        <f t="shared" ref="P310:P319" si="33">IF(X310=0,"",X310)</f>
        <v/>
      </c>
      <c r="Q310" s="2"/>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3">
      <c r="A311" s="2"/>
      <c r="B311" s="467"/>
      <c r="C311" s="39"/>
      <c r="D311" s="470"/>
      <c r="E311" s="468"/>
      <c r="F311" s="1221" t="str">
        <f>IF(OR(S308=1,Z297=1,Z297=5,Z297=6,Z297=7),"","Popliteus")</f>
        <v>Popliteus</v>
      </c>
      <c r="G311" s="1221"/>
      <c r="H311" s="1221"/>
      <c r="I311" s="1221"/>
      <c r="J311" s="1221"/>
      <c r="K311" s="1221"/>
      <c r="L311" s="1221"/>
      <c r="M311" s="76">
        <f t="shared" si="30"/>
        <v>0</v>
      </c>
      <c r="N311" s="205"/>
      <c r="O311" s="205"/>
      <c r="P311" s="294" t="str">
        <f t="shared" si="33"/>
        <v/>
      </c>
      <c r="Q311" s="2"/>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3">
      <c r="A312" s="2"/>
      <c r="B312" s="467"/>
      <c r="C312" s="39"/>
      <c r="D312" s="470"/>
      <c r="E312" s="468"/>
      <c r="F312" s="806" t="str">
        <f>IF(OR(S308=1,Z297=1,Z297=5,Z297=6,Z297=7),"","Soleus")</f>
        <v>Soleus</v>
      </c>
      <c r="G312" s="806"/>
      <c r="H312" s="806"/>
      <c r="I312" s="806"/>
      <c r="J312" s="806"/>
      <c r="K312" s="806"/>
      <c r="L312" s="806"/>
      <c r="M312" s="76">
        <f t="shared" si="30"/>
        <v>0</v>
      </c>
      <c r="N312" s="205"/>
      <c r="O312" s="205"/>
      <c r="P312" s="294" t="str">
        <f t="shared" si="33"/>
        <v/>
      </c>
      <c r="Q312" s="2"/>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3">
      <c r="A313" s="2"/>
      <c r="B313" s="467"/>
      <c r="C313" s="39"/>
      <c r="D313" s="470"/>
      <c r="E313" s="468"/>
      <c r="F313" s="1221" t="str">
        <f>IF(OR(S308=1,Z297=1,Z297=5,Z297=6,Z297=7),"","Tibialis posterior")</f>
        <v>Tibialis posterior</v>
      </c>
      <c r="G313" s="1221"/>
      <c r="H313" s="1221"/>
      <c r="I313" s="1221"/>
      <c r="J313" s="1221"/>
      <c r="K313" s="1221"/>
      <c r="L313" s="1221"/>
      <c r="M313" s="76">
        <f t="shared" si="30"/>
        <v>0</v>
      </c>
      <c r="N313" s="205"/>
      <c r="O313" s="205"/>
      <c r="P313" s="294" t="str">
        <f t="shared" si="33"/>
        <v/>
      </c>
      <c r="Q313" s="2"/>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1"/>
      <c r="BF313" s="11"/>
      <c r="BG313" s="11"/>
      <c r="BH313" s="11"/>
      <c r="BI313" s="11"/>
      <c r="BJ313" s="11"/>
      <c r="BK313" s="11"/>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3">
      <c r="A314" s="2"/>
      <c r="B314" s="467"/>
      <c r="C314" s="39"/>
      <c r="D314" s="470"/>
      <c r="E314" s="468"/>
      <c r="F314" s="806" t="str">
        <f>IF(OR(S308=1,Z297=1,Z297=5,Z297=6,Z297=7),"","Flexor digitorum longus")</f>
        <v>Flexor digitorum longus</v>
      </c>
      <c r="G314" s="806"/>
      <c r="H314" s="806"/>
      <c r="I314" s="806"/>
      <c r="J314" s="806"/>
      <c r="K314" s="806"/>
      <c r="L314" s="806"/>
      <c r="M314" s="76">
        <f t="shared" si="30"/>
        <v>0</v>
      </c>
      <c r="N314" s="205"/>
      <c r="O314" s="205"/>
      <c r="P314" s="294" t="str">
        <f t="shared" si="33"/>
        <v/>
      </c>
      <c r="Q314" s="2"/>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1"/>
      <c r="BM314" s="11"/>
      <c r="BN314" s="11"/>
      <c r="BO314" s="11"/>
      <c r="BP314" s="11"/>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3">
      <c r="A315" s="2"/>
      <c r="B315" s="467"/>
      <c r="C315" s="39"/>
      <c r="D315" s="470"/>
      <c r="E315" s="468"/>
      <c r="F315" s="1221" t="str">
        <f>IF(OR(S308=1,Z297=1,Z297=5,Z297=6,Z297=7),"","Flexor hallucis longus")</f>
        <v>Flexor hallucis longus</v>
      </c>
      <c r="G315" s="1221"/>
      <c r="H315" s="1221"/>
      <c r="I315" s="1221"/>
      <c r="J315" s="1221"/>
      <c r="K315" s="1221"/>
      <c r="L315" s="1221"/>
      <c r="M315" s="76">
        <f t="shared" si="30"/>
        <v>0</v>
      </c>
      <c r="N315" s="205"/>
      <c r="O315" s="205"/>
      <c r="P315" s="294" t="str">
        <f t="shared" si="33"/>
        <v/>
      </c>
      <c r="Q315" s="2"/>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3">
      <c r="A316" s="2"/>
      <c r="B316" s="467"/>
      <c r="C316" s="39"/>
      <c r="D316" s="470"/>
      <c r="E316" s="468"/>
      <c r="F316" s="1221" t="str">
        <f>IF(OR(Z297=1,Z297=7),"",IF(AND(Z297=6,S308=1),"",IF(AND(S308=1,Z297=5),"Lateral plantar branch",IF(S308=1,"","Abductor digiti minimi"))))</f>
        <v>Abductor digiti minimi</v>
      </c>
      <c r="G316" s="1221"/>
      <c r="H316" s="1221"/>
      <c r="I316" s="1221"/>
      <c r="J316" s="1221"/>
      <c r="K316" s="1221"/>
      <c r="L316" s="1221"/>
      <c r="M316" s="76">
        <f>IF(OR(F316="",S316=0),0,0.06)</f>
        <v>0</v>
      </c>
      <c r="N316" s="205"/>
      <c r="O316" s="205"/>
      <c r="P316" s="294" t="str">
        <f t="shared" si="33"/>
        <v/>
      </c>
      <c r="Q316" s="2"/>
      <c r="R316" s="555" t="b">
        <v>0</v>
      </c>
      <c r="S316" s="578">
        <f t="shared" si="26"/>
        <v>0</v>
      </c>
      <c r="T316" s="610">
        <f t="shared" si="27"/>
        <v>0</v>
      </c>
      <c r="U316" s="610">
        <f t="shared" si="28"/>
        <v>0</v>
      </c>
      <c r="V316" s="610">
        <f t="shared" si="31"/>
        <v>0</v>
      </c>
      <c r="W316" s="610">
        <f t="shared" si="32"/>
        <v>0</v>
      </c>
      <c r="X316" s="610">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3">
      <c r="A317" s="2"/>
      <c r="B317" s="467"/>
      <c r="C317" s="39"/>
      <c r="D317" s="470"/>
      <c r="E317" s="468"/>
      <c r="F317" s="1221" t="str">
        <f>IF(OR(S308=1,Z297=1,Z297=7),"","Dorsal interossei")</f>
        <v>Dorsal interossei</v>
      </c>
      <c r="G317" s="1221"/>
      <c r="H317" s="1221"/>
      <c r="I317" s="1221"/>
      <c r="J317" s="1221"/>
      <c r="K317" s="1221"/>
      <c r="L317" s="1221"/>
      <c r="M317" s="76">
        <f>IF(OR(F317="",S317=0),0,0.06)</f>
        <v>0</v>
      </c>
      <c r="N317" s="205"/>
      <c r="O317" s="205"/>
      <c r="P317" s="294" t="str">
        <f t="shared" si="33"/>
        <v/>
      </c>
      <c r="Q317" s="2"/>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3">
      <c r="A318" s="2"/>
      <c r="B318" s="467"/>
      <c r="C318" s="39"/>
      <c r="D318" s="470"/>
      <c r="E318" s="472"/>
      <c r="F318" s="1099" t="str">
        <f>IF(OR(Z297=5,Z297=6),"Total for lateral plantar branch of the tibial nerve:","")</f>
        <v/>
      </c>
      <c r="G318" s="1100"/>
      <c r="H318" s="1100"/>
      <c r="I318" s="1100"/>
      <c r="J318" s="1100"/>
      <c r="K318" s="1100"/>
      <c r="L318" s="1100"/>
      <c r="M318" s="1100"/>
      <c r="N318" s="1100"/>
      <c r="O318" s="1101"/>
      <c r="P318" s="294" t="str">
        <f>IF(AND(P316="",P317=""),"",IF(OR(Z297=5,Z297=6),AVERAGE(P316:P317),""))</f>
        <v/>
      </c>
      <c r="Q318" s="2"/>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5" customHeight="1" x14ac:dyDescent="0.3">
      <c r="A319" s="2"/>
      <c r="B319" s="285"/>
      <c r="C319" s="183"/>
      <c r="D319" s="455"/>
      <c r="E319" s="468"/>
      <c r="F319" s="806" t="str">
        <f>IF(OR(Z297=1,Z297=6),"",IF(AND(Z297=7,S308=1),"",IF(AND(S308=1,Z297=5),"Medial plantar branch",IF(S308=1,"","Abductor hallucis"))))</f>
        <v>Abductor hallucis</v>
      </c>
      <c r="G319" s="806"/>
      <c r="H319" s="806"/>
      <c r="I319" s="806"/>
      <c r="J319" s="806"/>
      <c r="K319" s="806"/>
      <c r="L319" s="806"/>
      <c r="M319" s="76">
        <f>IF(OR(F319="",S319=0),0,0.06)</f>
        <v>0</v>
      </c>
      <c r="N319" s="205"/>
      <c r="O319" s="205"/>
      <c r="P319" s="294" t="str">
        <f t="shared" si="33"/>
        <v/>
      </c>
      <c r="Q319" s="2"/>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8" customHeight="1" x14ac:dyDescent="0.3">
      <c r="A320" s="2"/>
      <c r="B320" s="1197" t="str">
        <f>IF(Z297=2,"Total for tibial nerve; LEG impairment:",IF(OR(Z297=3,Z297=4),"Total for tibial nerve; FOOT impairment:",IF(OR(Z297=5,Z297=7),"Total for medial plantar branch of the tibial nerve:","")))</f>
        <v>Total for tibial nerve; LEG impairment:</v>
      </c>
      <c r="C320" s="1197"/>
      <c r="D320" s="1197"/>
      <c r="E320" s="959"/>
      <c r="F320" s="959"/>
      <c r="G320" s="959"/>
      <c r="H320" s="959"/>
      <c r="I320" s="959"/>
      <c r="J320" s="959"/>
      <c r="K320" s="959"/>
      <c r="L320" s="959"/>
      <c r="M320" s="959"/>
      <c r="N320" s="959"/>
      <c r="O320" s="959"/>
      <c r="P320" s="294">
        <f>IF(T320=0,0,IF(OR(Z297=1,Z297=6),0,IF(OR(Z297=5,Z297=7),AVERAGE(P319,P308),IF(OR(Z297=2,Z297=3,Z297=4),AVERAGE(P308:P319)))))</f>
        <v>0</v>
      </c>
      <c r="Q320" s="2"/>
      <c r="R320" s="50" t="s">
        <v>1719</v>
      </c>
      <c r="S320" s="578">
        <f>SUM(S308:S319)</f>
        <v>0</v>
      </c>
      <c r="T320" s="588">
        <f>SUM(P308:P319)</f>
        <v>0</v>
      </c>
      <c r="U320" s="588"/>
      <c r="V320" s="553"/>
      <c r="W320" s="553"/>
      <c r="X320" s="553">
        <f>SUM(X308:X319)</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3">
      <c r="A321" s="2"/>
      <c r="B321" s="764" t="s">
        <v>423</v>
      </c>
      <c r="C321" s="765"/>
      <c r="D321" s="766"/>
      <c r="E321" s="466"/>
      <c r="F321" s="806" t="s">
        <v>985</v>
      </c>
      <c r="G321" s="806"/>
      <c r="H321" s="806"/>
      <c r="I321" s="806"/>
      <c r="J321" s="806"/>
      <c r="K321" s="806"/>
      <c r="L321" s="806"/>
      <c r="M321" s="80">
        <f t="shared" ref="M321:M327" si="34">IF(OR(F321="",S321=0),0,0.3)</f>
        <v>0</v>
      </c>
      <c r="N321" s="205"/>
      <c r="O321" s="205"/>
      <c r="P321" s="294" t="str">
        <f>IF(X321=0,"",X321)</f>
        <v/>
      </c>
      <c r="Q321" s="2"/>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3">
      <c r="A322" s="2"/>
      <c r="B322" s="833"/>
      <c r="C322" s="713"/>
      <c r="D322" s="834"/>
      <c r="E322" s="466"/>
      <c r="F322" s="806" t="str">
        <f>IF(S321=1,"","Pectineus")</f>
        <v>Pectineus</v>
      </c>
      <c r="G322" s="806"/>
      <c r="H322" s="806"/>
      <c r="I322" s="806"/>
      <c r="J322" s="806"/>
      <c r="K322" s="806"/>
      <c r="L322" s="806"/>
      <c r="M322" s="80">
        <f t="shared" si="34"/>
        <v>0</v>
      </c>
      <c r="N322" s="205"/>
      <c r="O322" s="205"/>
      <c r="P322" s="294" t="str">
        <f t="shared" ref="P322:P327" si="41">IF(X322=0,"",X322)</f>
        <v/>
      </c>
      <c r="Q322" s="2"/>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3">
      <c r="A323" s="2"/>
      <c r="B323" s="1227"/>
      <c r="C323" s="1227"/>
      <c r="D323" s="1227"/>
      <c r="E323" s="466"/>
      <c r="F323" s="806" t="str">
        <f>IF(S321=1,"","Sartorius")</f>
        <v>Sartorius</v>
      </c>
      <c r="G323" s="806"/>
      <c r="H323" s="806"/>
      <c r="I323" s="806"/>
      <c r="J323" s="806"/>
      <c r="K323" s="806"/>
      <c r="L323" s="806"/>
      <c r="M323" s="80">
        <f t="shared" si="34"/>
        <v>0</v>
      </c>
      <c r="N323" s="205"/>
      <c r="O323" s="205"/>
      <c r="P323" s="294" t="str">
        <f t="shared" si="41"/>
        <v/>
      </c>
      <c r="Q323" s="2"/>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3">
      <c r="A324" s="2"/>
      <c r="B324" s="1228"/>
      <c r="C324" s="1228"/>
      <c r="D324" s="1228"/>
      <c r="E324" s="466"/>
      <c r="F324" s="806" t="str">
        <f>IF(S321=1,"","Rectus femoris")</f>
        <v>Rectus femoris</v>
      </c>
      <c r="G324" s="806"/>
      <c r="H324" s="806"/>
      <c r="I324" s="806"/>
      <c r="J324" s="806"/>
      <c r="K324" s="806"/>
      <c r="L324" s="806"/>
      <c r="M324" s="80">
        <f t="shared" si="34"/>
        <v>0</v>
      </c>
      <c r="N324" s="205"/>
      <c r="O324" s="205"/>
      <c r="P324" s="294" t="str">
        <f t="shared" si="41"/>
        <v/>
      </c>
      <c r="Q324" s="2"/>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3">
      <c r="A325" s="2"/>
      <c r="B325" s="1228"/>
      <c r="C325" s="1228"/>
      <c r="D325" s="1228"/>
      <c r="E325" s="466"/>
      <c r="F325" s="806" t="str">
        <f>IF(S321=1,"","Vastus lateralis")</f>
        <v>Vastus lateralis</v>
      </c>
      <c r="G325" s="806"/>
      <c r="H325" s="806"/>
      <c r="I325" s="806"/>
      <c r="J325" s="806"/>
      <c r="K325" s="806"/>
      <c r="L325" s="806"/>
      <c r="M325" s="80">
        <f t="shared" si="34"/>
        <v>0</v>
      </c>
      <c r="N325" s="205"/>
      <c r="O325" s="205"/>
      <c r="P325" s="294" t="str">
        <f t="shared" si="41"/>
        <v/>
      </c>
      <c r="Q325" s="2"/>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3">
      <c r="A326" s="2"/>
      <c r="B326" s="1228"/>
      <c r="C326" s="1228"/>
      <c r="D326" s="1228"/>
      <c r="E326" s="466"/>
      <c r="F326" s="806" t="str">
        <f>IF(S321=1,"","Vastus intermedius")</f>
        <v>Vastus intermedius</v>
      </c>
      <c r="G326" s="806"/>
      <c r="H326" s="806"/>
      <c r="I326" s="806"/>
      <c r="J326" s="806"/>
      <c r="K326" s="806"/>
      <c r="L326" s="806"/>
      <c r="M326" s="80">
        <f t="shared" si="34"/>
        <v>0</v>
      </c>
      <c r="N326" s="205"/>
      <c r="O326" s="205"/>
      <c r="P326" s="294" t="str">
        <f t="shared" si="41"/>
        <v/>
      </c>
      <c r="Q326" s="2"/>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5" customHeight="1" x14ac:dyDescent="0.3">
      <c r="A327" s="2"/>
      <c r="B327" s="1228"/>
      <c r="C327" s="1228"/>
      <c r="D327" s="1228"/>
      <c r="E327" s="466"/>
      <c r="F327" s="806" t="str">
        <f>IF(S321=1,"","Vastus medialis")</f>
        <v>Vastus medialis</v>
      </c>
      <c r="G327" s="806"/>
      <c r="H327" s="806"/>
      <c r="I327" s="806"/>
      <c r="J327" s="806"/>
      <c r="K327" s="806"/>
      <c r="L327" s="806"/>
      <c r="M327" s="80">
        <f t="shared" si="34"/>
        <v>0</v>
      </c>
      <c r="N327" s="205"/>
      <c r="O327" s="205"/>
      <c r="P327" s="294" t="str">
        <f t="shared" si="41"/>
        <v/>
      </c>
      <c r="Q327" s="2"/>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18" customHeight="1" x14ac:dyDescent="0.3">
      <c r="A328" s="2"/>
      <c r="B328" s="959" t="str">
        <f>IF(SUM(M321:M327)=0,"","Total for femoral nerve; LEG impairment:")</f>
        <v/>
      </c>
      <c r="C328" s="959"/>
      <c r="D328" s="959"/>
      <c r="E328" s="959"/>
      <c r="F328" s="959"/>
      <c r="G328" s="959"/>
      <c r="H328" s="959"/>
      <c r="I328" s="959"/>
      <c r="J328" s="959"/>
      <c r="K328" s="959"/>
      <c r="L328" s="959"/>
      <c r="M328" s="959"/>
      <c r="N328" s="959"/>
      <c r="O328" s="959"/>
      <c r="P328" s="191">
        <f>IF(AND(P321="",P322="",P323="",P324="",P325="",P326="",P327=""),0,AVERAGE(P321:P327))</f>
        <v>0</v>
      </c>
      <c r="Q328" s="2"/>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27" customHeight="1" x14ac:dyDescent="0.3">
      <c r="A329" s="2"/>
      <c r="B329" s="776" t="s">
        <v>986</v>
      </c>
      <c r="C329" s="776"/>
      <c r="D329" s="776"/>
      <c r="E329" s="374"/>
      <c r="F329" s="776" t="s">
        <v>517</v>
      </c>
      <c r="G329" s="776"/>
      <c r="H329" s="776"/>
      <c r="I329" s="776"/>
      <c r="J329" s="776"/>
      <c r="K329" s="776"/>
      <c r="L329" s="776"/>
      <c r="M329" s="80">
        <f>IF(OR(F329="",S329=0),0,0.1)</f>
        <v>0</v>
      </c>
      <c r="N329" s="205"/>
      <c r="O329" s="205"/>
      <c r="P329" s="294">
        <f>IF(X329=0,0,X329)</f>
        <v>0</v>
      </c>
      <c r="Q329" s="2"/>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39" customHeight="1" x14ac:dyDescent="0.3">
      <c r="A330" s="2"/>
      <c r="B330" s="950" t="s">
        <v>815</v>
      </c>
      <c r="C330" s="950"/>
      <c r="D330" s="950"/>
      <c r="E330" s="374"/>
      <c r="F330" s="776" t="s">
        <v>518</v>
      </c>
      <c r="G330" s="776"/>
      <c r="H330" s="776"/>
      <c r="I330" s="776"/>
      <c r="J330" s="776"/>
      <c r="K330" s="776"/>
      <c r="L330" s="776"/>
      <c r="M330" s="80">
        <f>IF(OR(F330="",S330=0),0,0.1)</f>
        <v>0</v>
      </c>
      <c r="N330" s="205"/>
      <c r="O330" s="205"/>
      <c r="P330" s="294">
        <f>IF(X330=0,0,X330)</f>
        <v>0</v>
      </c>
      <c r="Q330" s="2"/>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3">
      <c r="A331" s="2"/>
      <c r="B331" s="764" t="s">
        <v>519</v>
      </c>
      <c r="C331" s="765"/>
      <c r="D331" s="766"/>
      <c r="E331" s="466"/>
      <c r="F331" s="806" t="s">
        <v>985</v>
      </c>
      <c r="G331" s="806"/>
      <c r="H331" s="806"/>
      <c r="I331" s="806"/>
      <c r="J331" s="806"/>
      <c r="K331" s="806"/>
      <c r="L331" s="806"/>
      <c r="M331" s="80">
        <f>IF(OR(F331="",S331=0),0,0.2)</f>
        <v>0</v>
      </c>
      <c r="N331" s="205"/>
      <c r="O331" s="205"/>
      <c r="P331" s="294" t="str">
        <f>IF(X331=0,"",X331)</f>
        <v/>
      </c>
      <c r="Q331" s="2"/>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3">
      <c r="A332" s="2"/>
      <c r="B332" s="1227"/>
      <c r="C332" s="1227"/>
      <c r="D332" s="1227"/>
      <c r="E332" s="466"/>
      <c r="F332" s="806" t="str">
        <f>IF(S331=1,"","Gluteus medius")</f>
        <v>Gluteus medius</v>
      </c>
      <c r="G332" s="806"/>
      <c r="H332" s="806"/>
      <c r="I332" s="806"/>
      <c r="J332" s="806"/>
      <c r="K332" s="806"/>
      <c r="L332" s="806"/>
      <c r="M332" s="80">
        <f>IF(OR(F332="",S332=0),0,0.2)</f>
        <v>0</v>
      </c>
      <c r="N332" s="205"/>
      <c r="O332" s="205"/>
      <c r="P332" s="294" t="str">
        <f>IF(X332=0,"",X332)</f>
        <v/>
      </c>
      <c r="Q332" s="2"/>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3">
      <c r="A333" s="2"/>
      <c r="B333" s="1228"/>
      <c r="C333" s="1228"/>
      <c r="D333" s="1228"/>
      <c r="E333" s="466"/>
      <c r="F333" s="806" t="str">
        <f>IF(S331=1,"","Gluteus minimus")</f>
        <v>Gluteus minimus</v>
      </c>
      <c r="G333" s="806"/>
      <c r="H333" s="806"/>
      <c r="I333" s="806"/>
      <c r="J333" s="806"/>
      <c r="K333" s="806"/>
      <c r="L333" s="806"/>
      <c r="M333" s="80">
        <f>IF(OR(F333="",S333=0),0,0.2)</f>
        <v>0</v>
      </c>
      <c r="N333" s="205"/>
      <c r="O333" s="205"/>
      <c r="P333" s="294" t="str">
        <f>IF(X333=0,"",X333)</f>
        <v/>
      </c>
      <c r="Q333" s="2"/>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5" customHeight="1" x14ac:dyDescent="0.3">
      <c r="A334" s="2"/>
      <c r="B334" s="1228"/>
      <c r="C334" s="1228"/>
      <c r="D334" s="1228"/>
      <c r="E334" s="466"/>
      <c r="F334" s="806" t="str">
        <f>IF(S331=1,"","Tensor fasciae latae")</f>
        <v>Tensor fasciae latae</v>
      </c>
      <c r="G334" s="806"/>
      <c r="H334" s="806"/>
      <c r="I334" s="806"/>
      <c r="J334" s="806"/>
      <c r="K334" s="806"/>
      <c r="L334" s="806"/>
      <c r="M334" s="80">
        <f>IF(OR(F334="",S334=0),0,0.2)</f>
        <v>0</v>
      </c>
      <c r="N334" s="205"/>
      <c r="O334" s="205"/>
      <c r="P334" s="294" t="str">
        <f>IF(X334=0,"",X334)</f>
        <v/>
      </c>
      <c r="Q334" s="2"/>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8" customHeight="1" x14ac:dyDescent="0.3">
      <c r="A335" s="2"/>
      <c r="B335" s="959" t="str">
        <f>IF(SUM(M331:M334)=0,"","Total for superior gluteal; LEG impairment:")</f>
        <v/>
      </c>
      <c r="C335" s="959"/>
      <c r="D335" s="959"/>
      <c r="E335" s="959"/>
      <c r="F335" s="959"/>
      <c r="G335" s="959"/>
      <c r="H335" s="959"/>
      <c r="I335" s="959"/>
      <c r="J335" s="959"/>
      <c r="K335" s="959"/>
      <c r="L335" s="959"/>
      <c r="M335" s="959"/>
      <c r="N335" s="959"/>
      <c r="O335" s="959"/>
      <c r="P335" s="191">
        <f>IF(AND(P331="",P332="",P333="",P334=""),0,AVERAGE(P331:P334))</f>
        <v>0</v>
      </c>
      <c r="Q335" s="2"/>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5" customHeight="1" x14ac:dyDescent="0.3">
      <c r="A336" s="2"/>
      <c r="B336" s="776" t="s">
        <v>520</v>
      </c>
      <c r="C336" s="776"/>
      <c r="D336" s="776"/>
      <c r="E336" s="374"/>
      <c r="F336" s="806" t="s">
        <v>521</v>
      </c>
      <c r="G336" s="806"/>
      <c r="H336" s="806"/>
      <c r="I336" s="806"/>
      <c r="J336" s="806"/>
      <c r="K336" s="806"/>
      <c r="L336" s="806"/>
      <c r="M336" s="80">
        <f>IF(OR(F336="",S336=0),0,0.25)</f>
        <v>0</v>
      </c>
      <c r="N336" s="205"/>
      <c r="O336" s="205"/>
      <c r="P336" s="294">
        <f>IF(X336=0,0,X336)</f>
        <v>0</v>
      </c>
      <c r="Q336" s="2"/>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3">
      <c r="A337" s="2"/>
      <c r="B337" s="959" t="s">
        <v>585</v>
      </c>
      <c r="C337" s="959"/>
      <c r="D337" s="959"/>
      <c r="E337" s="959"/>
      <c r="F337" s="959"/>
      <c r="G337" s="959"/>
      <c r="H337" s="959"/>
      <c r="I337" s="959"/>
      <c r="J337" s="959"/>
      <c r="K337" s="959"/>
      <c r="L337" s="959"/>
      <c r="M337" s="959"/>
      <c r="N337" s="959"/>
      <c r="O337" s="959"/>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8" customHeight="1" x14ac:dyDescent="0.3">
      <c r="A338" s="2"/>
      <c r="B338" s="959" t="s">
        <v>859</v>
      </c>
      <c r="C338" s="959"/>
      <c r="D338" s="959"/>
      <c r="E338" s="959"/>
      <c r="F338" s="959"/>
      <c r="G338" s="959"/>
      <c r="H338" s="959"/>
      <c r="I338" s="959"/>
      <c r="J338" s="959"/>
      <c r="K338" s="959"/>
      <c r="L338" s="959"/>
      <c r="M338" s="959"/>
      <c r="N338" s="959"/>
      <c r="O338" s="959"/>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 customHeight="1" x14ac:dyDescent="0.3">
      <c r="A339" s="2"/>
      <c r="B339" s="792"/>
      <c r="C339" s="792"/>
      <c r="D339" s="792"/>
      <c r="E339" s="792"/>
      <c r="F339" s="792"/>
      <c r="G339" s="792"/>
      <c r="H339" s="792"/>
      <c r="I339" s="792"/>
      <c r="J339" s="792"/>
      <c r="K339" s="792"/>
      <c r="L339" s="792"/>
      <c r="M339" s="792"/>
      <c r="N339" s="792"/>
      <c r="O339" s="792"/>
      <c r="P339" s="792"/>
      <c r="Q339" s="1"/>
      <c r="R339" s="10"/>
      <c r="S339" s="10"/>
      <c r="T339" s="10"/>
      <c r="U339" s="10"/>
      <c r="V339" s="10"/>
      <c r="W339" s="10"/>
      <c r="X339" s="10"/>
      <c r="Y339" s="1"/>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12.75" customHeight="1" x14ac:dyDescent="0.3">
      <c r="A340" s="2"/>
      <c r="B340" s="792"/>
      <c r="C340" s="792"/>
      <c r="D340" s="792"/>
      <c r="E340" s="792"/>
      <c r="F340" s="792"/>
      <c r="G340" s="792"/>
      <c r="H340" s="792"/>
      <c r="I340" s="792"/>
      <c r="J340" s="792"/>
      <c r="K340" s="792"/>
      <c r="L340" s="792"/>
      <c r="M340" s="792"/>
      <c r="N340" s="792"/>
      <c r="O340" s="792"/>
      <c r="P340" s="792"/>
      <c r="Q340" s="1"/>
      <c r="R340" s="10"/>
      <c r="S340" s="10"/>
      <c r="T340" s="10"/>
      <c r="U340" s="10"/>
      <c r="V340" s="10"/>
      <c r="W340" s="10"/>
      <c r="X340" s="10"/>
      <c r="Y340" s="1"/>
      <c r="Z340" s="10"/>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36.75" customHeight="1" x14ac:dyDescent="0.3">
      <c r="A341" s="2"/>
      <c r="B341" s="1030" t="s">
        <v>816</v>
      </c>
      <c r="C341" s="1031"/>
      <c r="D341" s="1031"/>
      <c r="E341" s="1031"/>
      <c r="F341" s="1032"/>
      <c r="G341" s="922" t="s">
        <v>1524</v>
      </c>
      <c r="H341" s="941"/>
      <c r="I341" s="941"/>
      <c r="J341" s="941"/>
      <c r="K341" s="942"/>
      <c r="L341" s="1003"/>
      <c r="M341" s="1004"/>
      <c r="N341" s="1004"/>
      <c r="O341" s="1004"/>
      <c r="P341" s="1154">
        <f>V366</f>
        <v>0</v>
      </c>
      <c r="Q341" s="2"/>
      <c r="R341" s="10"/>
      <c r="S341" s="146" t="s">
        <v>1864</v>
      </c>
      <c r="T341" s="50" t="s">
        <v>1304</v>
      </c>
      <c r="U341" s="50" t="s">
        <v>1305</v>
      </c>
      <c r="V341" s="50" t="s">
        <v>1306</v>
      </c>
      <c r="W341" s="50" t="s">
        <v>860</v>
      </c>
      <c r="X341" s="10"/>
      <c r="Y341" s="1"/>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3">
      <c r="A342" s="2"/>
      <c r="B342" s="757" t="s">
        <v>861</v>
      </c>
      <c r="C342" s="758"/>
      <c r="D342" s="759"/>
      <c r="E342" s="742">
        <f t="shared" ref="E342:E347" si="48">P207</f>
        <v>0</v>
      </c>
      <c r="F342" s="744"/>
      <c r="G342" s="940" t="s">
        <v>1941</v>
      </c>
      <c r="H342" s="941"/>
      <c r="I342" s="942"/>
      <c r="J342" s="1141"/>
      <c r="K342" s="1141"/>
      <c r="L342" s="1007"/>
      <c r="M342" s="1007"/>
      <c r="N342" s="1007"/>
      <c r="O342" s="1007"/>
      <c r="P342" s="1154"/>
      <c r="Q342" s="2"/>
      <c r="R342" s="10"/>
      <c r="S342" s="557">
        <f>E342</f>
        <v>0</v>
      </c>
      <c r="T342" s="147">
        <f>LARGE($S$342:$S$367,1)</f>
        <v>0</v>
      </c>
      <c r="U342" s="553">
        <f>T342+T343*(1-T342)</f>
        <v>0</v>
      </c>
      <c r="V342" s="557">
        <f>ROUND(U342,2)</f>
        <v>0</v>
      </c>
      <c r="W342" s="50">
        <f>IF(OR(P215&gt;0,P216&gt;0,P217&gt;0,P218&gt;0,P219&gt;0,P234&gt;0),1,0)</f>
        <v>0</v>
      </c>
      <c r="X342" s="10"/>
      <c r="Y342" s="2"/>
      <c r="Z342" s="2"/>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3">
      <c r="A343" s="2"/>
      <c r="B343" s="146" t="s">
        <v>1894</v>
      </c>
      <c r="C343" s="146"/>
      <c r="D343" s="146"/>
      <c r="E343" s="742">
        <f t="shared" si="48"/>
        <v>0</v>
      </c>
      <c r="F343" s="744"/>
      <c r="G343" s="940" t="s">
        <v>1941</v>
      </c>
      <c r="H343" s="941"/>
      <c r="I343" s="942"/>
      <c r="J343" s="1141"/>
      <c r="K343" s="1141"/>
      <c r="L343" s="1007"/>
      <c r="M343" s="1007"/>
      <c r="N343" s="1007"/>
      <c r="O343" s="1007"/>
      <c r="P343" s="1154"/>
      <c r="Q343" s="2"/>
      <c r="R343" s="10"/>
      <c r="S343" s="557">
        <f t="shared" ref="S343:S352" si="49">E343</f>
        <v>0</v>
      </c>
      <c r="T343" s="147">
        <f>LARGE($S$342:$S$367,2)</f>
        <v>0</v>
      </c>
      <c r="U343" s="553">
        <f>V342+T344*(1-V342)</f>
        <v>0</v>
      </c>
      <c r="V343" s="557">
        <f>ROUND(U343,2)</f>
        <v>0</v>
      </c>
      <c r="W343" s="50" t="s">
        <v>1898</v>
      </c>
      <c r="X343" s="10"/>
      <c r="Y343" s="10"/>
      <c r="Z343" s="10"/>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3">
      <c r="A344" s="2"/>
      <c r="B344" s="146" t="s">
        <v>1896</v>
      </c>
      <c r="C344" s="146"/>
      <c r="D344" s="146"/>
      <c r="E344" s="742">
        <f t="shared" si="48"/>
        <v>0</v>
      </c>
      <c r="F344" s="744"/>
      <c r="G344" s="940" t="s">
        <v>1941</v>
      </c>
      <c r="H344" s="941"/>
      <c r="I344" s="942"/>
      <c r="J344" s="1141"/>
      <c r="K344" s="1141"/>
      <c r="L344" s="1007"/>
      <c r="M344" s="1007"/>
      <c r="N344" s="1007"/>
      <c r="O344" s="1007"/>
      <c r="P344" s="1154"/>
      <c r="Q344" s="2"/>
      <c r="R344" s="10"/>
      <c r="S344" s="557">
        <f t="shared" si="49"/>
        <v>0</v>
      </c>
      <c r="T344" s="147">
        <f>LARGE($S$342:$S$367,3)</f>
        <v>0</v>
      </c>
      <c r="U344" s="553">
        <f t="shared" ref="U344:U366" si="50">V343+T345*(1-V343)</f>
        <v>0</v>
      </c>
      <c r="V344" s="557">
        <f t="shared" ref="V344:V366" si="51">ROUND(U344,2)</f>
        <v>0</v>
      </c>
      <c r="W344" s="50">
        <f>IF(P337&gt;0,5,0)</f>
        <v>0</v>
      </c>
      <c r="X344" s="10"/>
      <c r="Y344" s="2"/>
      <c r="Z344" s="2"/>
      <c r="AA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3">
      <c r="A345" s="2"/>
      <c r="B345" s="146" t="s">
        <v>1897</v>
      </c>
      <c r="C345" s="146"/>
      <c r="D345" s="146"/>
      <c r="E345" s="742">
        <f t="shared" si="48"/>
        <v>0</v>
      </c>
      <c r="F345" s="744"/>
      <c r="G345" s="940" t="s">
        <v>1941</v>
      </c>
      <c r="H345" s="941"/>
      <c r="I345" s="942"/>
      <c r="J345" s="1141"/>
      <c r="K345" s="1141"/>
      <c r="L345" s="1007"/>
      <c r="M345" s="1007"/>
      <c r="N345" s="1007"/>
      <c r="O345" s="1007"/>
      <c r="P345" s="1154"/>
      <c r="Q345" s="2"/>
      <c r="R345" s="10"/>
      <c r="S345" s="557">
        <f t="shared" si="49"/>
        <v>0</v>
      </c>
      <c r="T345" s="147">
        <f>LARGE($S$342:$S$367,4)</f>
        <v>0</v>
      </c>
      <c r="U345" s="553">
        <f t="shared" si="50"/>
        <v>0</v>
      </c>
      <c r="V345" s="557">
        <f t="shared" si="51"/>
        <v>0</v>
      </c>
      <c r="W345" s="50" t="s">
        <v>596</v>
      </c>
      <c r="X345" s="10"/>
      <c r="Y345" s="2"/>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3">
      <c r="A346" s="2"/>
      <c r="B346" s="146" t="s">
        <v>1899</v>
      </c>
      <c r="C346" s="146"/>
      <c r="D346" s="146"/>
      <c r="E346" s="742">
        <f t="shared" si="48"/>
        <v>0</v>
      </c>
      <c r="F346" s="744"/>
      <c r="G346" s="940" t="s">
        <v>1941</v>
      </c>
      <c r="H346" s="941"/>
      <c r="I346" s="942"/>
      <c r="J346" s="1141"/>
      <c r="K346" s="1141"/>
      <c r="L346" s="1007"/>
      <c r="M346" s="1007"/>
      <c r="N346" s="1007"/>
      <c r="O346" s="1007"/>
      <c r="P346" s="1154"/>
      <c r="Q346" s="2"/>
      <c r="R346" s="10"/>
      <c r="S346" s="557">
        <f t="shared" si="49"/>
        <v>0</v>
      </c>
      <c r="T346" s="147">
        <f>LARGE($S$342:$S$367,5)</f>
        <v>0</v>
      </c>
      <c r="U346" s="553">
        <f t="shared" si="50"/>
        <v>0</v>
      </c>
      <c r="V346" s="557">
        <f t="shared" si="51"/>
        <v>0</v>
      </c>
      <c r="W346" s="50">
        <f>IF(P267&gt;0,1,0)</f>
        <v>0</v>
      </c>
      <c r="X346" s="10"/>
      <c r="Y346" s="2"/>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3">
      <c r="A347" s="2"/>
      <c r="B347" s="146" t="s">
        <v>1900</v>
      </c>
      <c r="C347" s="146"/>
      <c r="D347" s="146"/>
      <c r="E347" s="742">
        <f t="shared" si="48"/>
        <v>0</v>
      </c>
      <c r="F347" s="744"/>
      <c r="G347" s="940" t="s">
        <v>1941</v>
      </c>
      <c r="H347" s="941"/>
      <c r="I347" s="942"/>
      <c r="J347" s="1141"/>
      <c r="K347" s="1141"/>
      <c r="L347" s="1007"/>
      <c r="M347" s="1007"/>
      <c r="N347" s="1007"/>
      <c r="O347" s="1007"/>
      <c r="P347" s="1154"/>
      <c r="Q347" s="2"/>
      <c r="R347" s="10"/>
      <c r="S347" s="557">
        <f t="shared" si="49"/>
        <v>0</v>
      </c>
      <c r="T347" s="147">
        <f>LARGE($S$342:$S$367,6)</f>
        <v>0</v>
      </c>
      <c r="U347" s="553">
        <f t="shared" si="50"/>
        <v>0</v>
      </c>
      <c r="V347" s="557">
        <f t="shared" si="51"/>
        <v>0</v>
      </c>
      <c r="W347" s="50" t="s">
        <v>1901</v>
      </c>
      <c r="X347" s="10"/>
      <c r="Y347" s="2"/>
      <c r="Z347" s="2"/>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3">
      <c r="A348" s="2"/>
      <c r="B348" s="1184" t="s">
        <v>1902</v>
      </c>
      <c r="C348" s="1185"/>
      <c r="D348" s="1186"/>
      <c r="E348" s="742">
        <f>IF(P427&gt;0,0,P215)</f>
        <v>0</v>
      </c>
      <c r="F348" s="744"/>
      <c r="G348" s="940" t="s">
        <v>1941</v>
      </c>
      <c r="H348" s="941"/>
      <c r="I348" s="942"/>
      <c r="J348" s="1141"/>
      <c r="K348" s="1141"/>
      <c r="L348" s="1007"/>
      <c r="M348" s="1007"/>
      <c r="N348" s="1007"/>
      <c r="O348" s="1007"/>
      <c r="P348" s="1154"/>
      <c r="Q348" s="2"/>
      <c r="R348" s="10"/>
      <c r="S348" s="557">
        <f t="shared" si="49"/>
        <v>0</v>
      </c>
      <c r="T348" s="147">
        <f>LARGE($S$342:$S$367,7)</f>
        <v>0</v>
      </c>
      <c r="U348" s="553">
        <f t="shared" si="50"/>
        <v>0</v>
      </c>
      <c r="V348" s="557">
        <f t="shared" si="51"/>
        <v>0</v>
      </c>
      <c r="W348" s="50">
        <f>SUM(W342,W344,W346)</f>
        <v>0</v>
      </c>
      <c r="X348" s="10"/>
      <c r="Y348" s="2"/>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3">
      <c r="A349" s="2"/>
      <c r="B349" s="1184" t="s">
        <v>1439</v>
      </c>
      <c r="C349" s="1185"/>
      <c r="D349" s="1186"/>
      <c r="E349" s="742">
        <f>IF(P427&gt;0,0,P216)</f>
        <v>0</v>
      </c>
      <c r="F349" s="744"/>
      <c r="G349" s="940" t="s">
        <v>1941</v>
      </c>
      <c r="H349" s="941"/>
      <c r="I349" s="942"/>
      <c r="J349" s="1141"/>
      <c r="K349" s="1141"/>
      <c r="L349" s="1007"/>
      <c r="M349" s="1007"/>
      <c r="N349" s="1007"/>
      <c r="O349" s="1007"/>
      <c r="P349" s="1154"/>
      <c r="Q349" s="2"/>
      <c r="R349" s="10"/>
      <c r="S349" s="557">
        <f t="shared" si="49"/>
        <v>0</v>
      </c>
      <c r="T349" s="147">
        <f>LARGE($S$342:$S$367,8)</f>
        <v>0</v>
      </c>
      <c r="U349" s="553">
        <f t="shared" si="50"/>
        <v>0</v>
      </c>
      <c r="V349" s="557">
        <f t="shared" si="51"/>
        <v>0</v>
      </c>
      <c r="W349" s="10"/>
      <c r="X349" s="10"/>
      <c r="Y349" s="2"/>
      <c r="Z349" s="2"/>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3">
      <c r="A350" s="2"/>
      <c r="B350" s="1184" t="s">
        <v>1440</v>
      </c>
      <c r="C350" s="1185"/>
      <c r="D350" s="1186"/>
      <c r="E350" s="742">
        <f>IF(P427&gt;0,0,P217)</f>
        <v>0</v>
      </c>
      <c r="F350" s="744"/>
      <c r="G350" s="940" t="s">
        <v>1941</v>
      </c>
      <c r="H350" s="941"/>
      <c r="I350" s="942"/>
      <c r="J350" s="1141"/>
      <c r="K350" s="1141"/>
      <c r="L350" s="1007"/>
      <c r="M350" s="1007"/>
      <c r="N350" s="1007"/>
      <c r="O350" s="1007"/>
      <c r="P350" s="1154"/>
      <c r="Q350" s="2"/>
      <c r="R350" s="10"/>
      <c r="S350" s="557">
        <f t="shared" si="49"/>
        <v>0</v>
      </c>
      <c r="T350" s="147">
        <f>LARGE($S$342:$S$367,9)</f>
        <v>0</v>
      </c>
      <c r="U350" s="553">
        <f t="shared" si="50"/>
        <v>0</v>
      </c>
      <c r="V350" s="557">
        <f t="shared" si="51"/>
        <v>0</v>
      </c>
      <c r="W350" s="10"/>
      <c r="X350" s="10"/>
      <c r="Y350" s="1"/>
      <c r="Z350" s="10"/>
      <c r="AA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3">
      <c r="A351" s="2"/>
      <c r="B351" s="1184" t="s">
        <v>1442</v>
      </c>
      <c r="C351" s="1185"/>
      <c r="D351" s="1186"/>
      <c r="E351" s="742">
        <f>IF(P427&gt;0,0,P218)</f>
        <v>0</v>
      </c>
      <c r="F351" s="744"/>
      <c r="G351" s="940" t="s">
        <v>1941</v>
      </c>
      <c r="H351" s="941"/>
      <c r="I351" s="942"/>
      <c r="J351" s="1141"/>
      <c r="K351" s="1141"/>
      <c r="L351" s="1007"/>
      <c r="M351" s="1007"/>
      <c r="N351" s="1007"/>
      <c r="O351" s="1007"/>
      <c r="P351" s="1154"/>
      <c r="Q351" s="2"/>
      <c r="R351" s="10"/>
      <c r="S351" s="557">
        <f t="shared" si="49"/>
        <v>0</v>
      </c>
      <c r="T351" s="147">
        <f>LARGE($S$342:$S$367,10)</f>
        <v>0</v>
      </c>
      <c r="U351" s="553">
        <f t="shared" si="50"/>
        <v>0</v>
      </c>
      <c r="V351" s="557">
        <f t="shared" si="51"/>
        <v>0</v>
      </c>
      <c r="W351" s="10"/>
      <c r="X351" s="10"/>
      <c r="Y351" s="10"/>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3">
      <c r="A352" s="2"/>
      <c r="B352" s="1184" t="s">
        <v>101</v>
      </c>
      <c r="C352" s="1185"/>
      <c r="D352" s="1186"/>
      <c r="E352" s="742">
        <f>IF(P427&gt;0,0,P219)</f>
        <v>0</v>
      </c>
      <c r="F352" s="744"/>
      <c r="G352" s="940" t="s">
        <v>1941</v>
      </c>
      <c r="H352" s="941"/>
      <c r="I352" s="942"/>
      <c r="J352" s="1141"/>
      <c r="K352" s="1141"/>
      <c r="L352" s="1007"/>
      <c r="M352" s="1007"/>
      <c r="N352" s="1007"/>
      <c r="O352" s="1007"/>
      <c r="P352" s="1154"/>
      <c r="Q352" s="2"/>
      <c r="R352" s="10"/>
      <c r="S352" s="557">
        <f t="shared" si="49"/>
        <v>0</v>
      </c>
      <c r="T352" s="147">
        <f>LARGE($S$342:$S$367,11)</f>
        <v>0</v>
      </c>
      <c r="U352" s="553">
        <f t="shared" si="50"/>
        <v>0</v>
      </c>
      <c r="V352" s="557">
        <f t="shared" si="51"/>
        <v>0</v>
      </c>
      <c r="W352" s="10"/>
      <c r="X352" s="10"/>
      <c r="Y352" s="10"/>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3">
      <c r="A353" s="2"/>
      <c r="B353" s="1184" t="s">
        <v>1107</v>
      </c>
      <c r="C353" s="1185"/>
      <c r="D353" s="1186"/>
      <c r="E353" s="742">
        <f>IF(P427&gt;0,0,P234)</f>
        <v>0</v>
      </c>
      <c r="F353" s="744"/>
      <c r="G353" s="1115" t="s">
        <v>2256</v>
      </c>
      <c r="H353" s="1177"/>
      <c r="I353" s="1116"/>
      <c r="J353" s="1141"/>
      <c r="K353" s="1141"/>
      <c r="L353" s="1007"/>
      <c r="M353" s="1007"/>
      <c r="N353" s="1007"/>
      <c r="O353" s="1007"/>
      <c r="P353" s="1154"/>
      <c r="Q353" s="2"/>
      <c r="R353" s="10"/>
      <c r="S353" s="147">
        <f t="shared" ref="S353:S358" si="52">IF(J353&gt;0,J353,E353)</f>
        <v>0</v>
      </c>
      <c r="T353" s="147">
        <f>LARGE($S$342:$S$367,12)</f>
        <v>0</v>
      </c>
      <c r="U353" s="553">
        <f t="shared" si="50"/>
        <v>0</v>
      </c>
      <c r="V353" s="557">
        <f t="shared" si="51"/>
        <v>0</v>
      </c>
      <c r="W353" s="10"/>
      <c r="X353" s="10"/>
      <c r="Y353" s="10"/>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3">
      <c r="A354" s="2"/>
      <c r="B354" s="1184" t="s">
        <v>2016</v>
      </c>
      <c r="C354" s="1185"/>
      <c r="D354" s="1186"/>
      <c r="E354" s="742">
        <f>P238</f>
        <v>0</v>
      </c>
      <c r="F354" s="744"/>
      <c r="G354" s="960"/>
      <c r="H354" s="1182"/>
      <c r="I354" s="1183"/>
      <c r="J354" s="1188">
        <f t="shared" ref="J354:J358" si="53">IF(AND(Y354&lt;0.01,Y354&gt;0),0.01,ROUND(Y354,2))</f>
        <v>0</v>
      </c>
      <c r="K354" s="1188"/>
      <c r="L354" s="1007"/>
      <c r="M354" s="1007"/>
      <c r="N354" s="1007"/>
      <c r="O354" s="1007"/>
      <c r="P354" s="1154"/>
      <c r="Q354" s="2"/>
      <c r="R354" s="10"/>
      <c r="S354" s="147">
        <f t="shared" si="52"/>
        <v>0</v>
      </c>
      <c r="T354" s="147">
        <f>LARGE($S$342:$S$367,13)</f>
        <v>0</v>
      </c>
      <c r="U354" s="553">
        <f t="shared" si="50"/>
        <v>0</v>
      </c>
      <c r="V354" s="557">
        <f t="shared" si="51"/>
        <v>0</v>
      </c>
      <c r="W354" s="10"/>
      <c r="X354" s="10"/>
      <c r="Y354" s="21">
        <f>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3">
      <c r="A355" s="2"/>
      <c r="B355" s="757" t="s">
        <v>1226</v>
      </c>
      <c r="C355" s="758"/>
      <c r="D355" s="759"/>
      <c r="E355" s="742">
        <f>P239</f>
        <v>0</v>
      </c>
      <c r="F355" s="744"/>
      <c r="G355" s="960"/>
      <c r="H355" s="1182"/>
      <c r="I355" s="1183"/>
      <c r="J355" s="1188">
        <f t="shared" si="53"/>
        <v>0</v>
      </c>
      <c r="K355" s="1188"/>
      <c r="L355" s="1007"/>
      <c r="M355" s="1007"/>
      <c r="N355" s="1007"/>
      <c r="O355" s="1007"/>
      <c r="P355" s="1154"/>
      <c r="Q355" s="2"/>
      <c r="R355" s="10"/>
      <c r="S355" s="147">
        <f t="shared" si="52"/>
        <v>0</v>
      </c>
      <c r="T355" s="147">
        <f>LARGE($S$342:$S$367,14)</f>
        <v>0</v>
      </c>
      <c r="U355" s="553">
        <f t="shared" si="50"/>
        <v>0</v>
      </c>
      <c r="V355" s="557">
        <f t="shared" si="51"/>
        <v>0</v>
      </c>
      <c r="W355" s="10"/>
      <c r="X355" s="10"/>
      <c r="Y355" s="21">
        <f t="shared" ref="Y355:Y358" si="54">G355*E355</f>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3">
      <c r="A356" s="2"/>
      <c r="B356" s="1184" t="s">
        <v>37</v>
      </c>
      <c r="C356" s="1185"/>
      <c r="D356" s="1186"/>
      <c r="E356" s="742">
        <f>P242</f>
        <v>0</v>
      </c>
      <c r="F356" s="744"/>
      <c r="G356" s="960"/>
      <c r="H356" s="1182"/>
      <c r="I356" s="1183"/>
      <c r="J356" s="1188">
        <f t="shared" si="53"/>
        <v>0</v>
      </c>
      <c r="K356" s="1188"/>
      <c r="L356" s="1007"/>
      <c r="M356" s="1007"/>
      <c r="N356" s="1007"/>
      <c r="O356" s="1007"/>
      <c r="P356" s="1154"/>
      <c r="Q356" s="2"/>
      <c r="R356" s="10"/>
      <c r="S356" s="147">
        <f t="shared" si="52"/>
        <v>0</v>
      </c>
      <c r="T356" s="147">
        <f>LARGE($S$342:$S$367,15)</f>
        <v>0</v>
      </c>
      <c r="U356" s="553">
        <f t="shared" si="50"/>
        <v>0</v>
      </c>
      <c r="V356" s="557">
        <f t="shared" si="51"/>
        <v>0</v>
      </c>
      <c r="W356" s="10"/>
      <c r="X356" s="10"/>
      <c r="Y356" s="21">
        <f t="shared" si="54"/>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3">
      <c r="A357" s="2"/>
      <c r="B357" s="1184" t="s">
        <v>1175</v>
      </c>
      <c r="C357" s="1185"/>
      <c r="D357" s="1186"/>
      <c r="E357" s="742">
        <f>P243</f>
        <v>0</v>
      </c>
      <c r="F357" s="744"/>
      <c r="G357" s="960"/>
      <c r="H357" s="1182"/>
      <c r="I357" s="1183"/>
      <c r="J357" s="1188">
        <f t="shared" si="53"/>
        <v>0</v>
      </c>
      <c r="K357" s="1188"/>
      <c r="L357" s="1007"/>
      <c r="M357" s="1007"/>
      <c r="N357" s="1007"/>
      <c r="O357" s="1007"/>
      <c r="P357" s="1154"/>
      <c r="Q357" s="2"/>
      <c r="R357" s="10"/>
      <c r="S357" s="147">
        <f t="shared" si="52"/>
        <v>0</v>
      </c>
      <c r="T357" s="147">
        <f>LARGE($S$342:$S$367,16)</f>
        <v>0</v>
      </c>
      <c r="U357" s="553">
        <f t="shared" si="50"/>
        <v>0</v>
      </c>
      <c r="V357" s="557">
        <f t="shared" si="51"/>
        <v>0</v>
      </c>
      <c r="W357" s="10"/>
      <c r="X357" s="10"/>
      <c r="Y357" s="21">
        <f t="shared" si="54"/>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3">
      <c r="A358" s="2"/>
      <c r="B358" s="1184" t="s">
        <v>1443</v>
      </c>
      <c r="C358" s="1185"/>
      <c r="D358" s="1186"/>
      <c r="E358" s="742">
        <f>P244</f>
        <v>0</v>
      </c>
      <c r="F358" s="744"/>
      <c r="G358" s="960"/>
      <c r="H358" s="1182"/>
      <c r="I358" s="1183"/>
      <c r="J358" s="1188">
        <f t="shared" si="53"/>
        <v>0</v>
      </c>
      <c r="K358" s="1188"/>
      <c r="L358" s="1007"/>
      <c r="M358" s="1007"/>
      <c r="N358" s="1007"/>
      <c r="O358" s="1007"/>
      <c r="P358" s="1154"/>
      <c r="Q358" s="2"/>
      <c r="R358" s="10"/>
      <c r="S358" s="147">
        <f t="shared" si="52"/>
        <v>0</v>
      </c>
      <c r="T358" s="147">
        <f>LARGE($S$342:$S$367,17)</f>
        <v>0</v>
      </c>
      <c r="U358" s="553">
        <f t="shared" si="50"/>
        <v>0</v>
      </c>
      <c r="V358" s="557">
        <f t="shared" si="51"/>
        <v>0</v>
      </c>
      <c r="W358" s="10"/>
      <c r="X358" s="10"/>
      <c r="Y358" s="21">
        <f t="shared" si="54"/>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3">
      <c r="A359" s="2"/>
      <c r="B359" s="1184" t="s">
        <v>1444</v>
      </c>
      <c r="C359" s="1185"/>
      <c r="D359" s="1186"/>
      <c r="E359" s="742">
        <f>P247</f>
        <v>0</v>
      </c>
      <c r="F359" s="744"/>
      <c r="G359" s="940" t="s">
        <v>1941</v>
      </c>
      <c r="H359" s="941"/>
      <c r="I359" s="942"/>
      <c r="J359" s="1141"/>
      <c r="K359" s="1141"/>
      <c r="L359" s="634"/>
      <c r="M359" s="634"/>
      <c r="N359" s="634"/>
      <c r="O359" s="634"/>
      <c r="P359" s="1154"/>
      <c r="Q359" s="2"/>
      <c r="R359" s="10"/>
      <c r="S359" s="557">
        <f>E359</f>
        <v>0</v>
      </c>
      <c r="T359" s="147">
        <f>LARGE($S$342:$S$367,18)</f>
        <v>0</v>
      </c>
      <c r="U359" s="553">
        <f t="shared" si="50"/>
        <v>0</v>
      </c>
      <c r="V359" s="557">
        <f t="shared" si="51"/>
        <v>0</v>
      </c>
      <c r="W359" s="10"/>
      <c r="X359" s="10"/>
      <c r="Y359" s="197"/>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3">
      <c r="A360" s="2"/>
      <c r="B360" s="146" t="s">
        <v>1869</v>
      </c>
      <c r="C360" s="146"/>
      <c r="D360" s="146"/>
      <c r="E360" s="742">
        <f>P248</f>
        <v>0</v>
      </c>
      <c r="F360" s="744"/>
      <c r="G360" s="940" t="s">
        <v>1941</v>
      </c>
      <c r="H360" s="941"/>
      <c r="I360" s="942"/>
      <c r="J360" s="1141"/>
      <c r="K360" s="1141"/>
      <c r="L360" s="634"/>
      <c r="M360" s="634"/>
      <c r="N360" s="634"/>
      <c r="O360" s="634"/>
      <c r="P360" s="1154"/>
      <c r="Q360" s="2"/>
      <c r="R360" s="10"/>
      <c r="S360" s="557">
        <f>E360</f>
        <v>0</v>
      </c>
      <c r="T360" s="147">
        <f>LARGE($S$342:$S$367,19)</f>
        <v>0</v>
      </c>
      <c r="U360" s="553">
        <f t="shared" si="50"/>
        <v>0</v>
      </c>
      <c r="V360" s="557">
        <f t="shared" si="51"/>
        <v>0</v>
      </c>
      <c r="W360" s="10"/>
      <c r="X360" s="10"/>
      <c r="Y360" s="198"/>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3">
      <c r="A361" s="2"/>
      <c r="B361" s="1184" t="s">
        <v>1445</v>
      </c>
      <c r="C361" s="1185"/>
      <c r="D361" s="1186"/>
      <c r="E361" s="742">
        <f>P250</f>
        <v>0</v>
      </c>
      <c r="F361" s="744"/>
      <c r="G361" s="940" t="s">
        <v>1941</v>
      </c>
      <c r="H361" s="941"/>
      <c r="I361" s="942"/>
      <c r="J361" s="1141"/>
      <c r="K361" s="1141"/>
      <c r="L361" s="634"/>
      <c r="M361" s="634"/>
      <c r="N361" s="634"/>
      <c r="O361" s="634"/>
      <c r="P361" s="1154"/>
      <c r="Q361" s="2"/>
      <c r="R361" s="10"/>
      <c r="S361" s="557">
        <f>E361</f>
        <v>0</v>
      </c>
      <c r="T361" s="147">
        <f>LARGE($S$342:$S$367,20)</f>
        <v>0</v>
      </c>
      <c r="U361" s="553">
        <f t="shared" si="50"/>
        <v>0</v>
      </c>
      <c r="V361" s="557">
        <f t="shared" si="51"/>
        <v>0</v>
      </c>
      <c r="W361" s="10"/>
      <c r="X361" s="10"/>
      <c r="Y361" s="198"/>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3">
      <c r="A362" s="2"/>
      <c r="B362" s="1184" t="s">
        <v>1446</v>
      </c>
      <c r="C362" s="1185"/>
      <c r="D362" s="1186"/>
      <c r="E362" s="742">
        <f>P253</f>
        <v>0</v>
      </c>
      <c r="F362" s="744"/>
      <c r="G362" s="960"/>
      <c r="H362" s="1182"/>
      <c r="I362" s="1183"/>
      <c r="J362" s="1188">
        <f t="shared" ref="J362:J366" si="55">IF(AND(Y362&lt;0.01,Y362&gt;0),0.01,ROUND(Y362,2))</f>
        <v>0</v>
      </c>
      <c r="K362" s="1188"/>
      <c r="L362" s="972" t="str">
        <f>IF(AND(P427&gt;0,W348&gt;0),"The worker has motor loss impairment. Additional impairment values are not allowed for chronic condition, reduced range of motion, or strength loss.","")</f>
        <v/>
      </c>
      <c r="M362" s="973"/>
      <c r="N362" s="973"/>
      <c r="O362" s="974"/>
      <c r="P362" s="1154"/>
      <c r="Q362" s="2"/>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3">
      <c r="A363" s="2"/>
      <c r="B363" s="1184" t="s">
        <v>1447</v>
      </c>
      <c r="C363" s="1185"/>
      <c r="D363" s="1186"/>
      <c r="E363" s="742">
        <f>P254</f>
        <v>0</v>
      </c>
      <c r="F363" s="744"/>
      <c r="G363" s="960"/>
      <c r="H363" s="1182"/>
      <c r="I363" s="1183"/>
      <c r="J363" s="1188">
        <f t="shared" si="55"/>
        <v>0</v>
      </c>
      <c r="K363" s="1188"/>
      <c r="L363" s="972"/>
      <c r="M363" s="973"/>
      <c r="N363" s="973"/>
      <c r="O363" s="974"/>
      <c r="P363" s="1154"/>
      <c r="Q363" s="2"/>
      <c r="R363" s="10"/>
      <c r="S363" s="147">
        <f t="shared" si="56"/>
        <v>0</v>
      </c>
      <c r="T363" s="147">
        <f>LARGE($S$342:$S$367,22)</f>
        <v>0</v>
      </c>
      <c r="U363" s="553">
        <f t="shared" si="50"/>
        <v>0</v>
      </c>
      <c r="V363" s="557">
        <f t="shared" si="51"/>
        <v>0</v>
      </c>
      <c r="W363" s="10"/>
      <c r="X363" s="10"/>
      <c r="Y363" s="21">
        <f t="shared" si="57"/>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3">
      <c r="A364" s="2"/>
      <c r="B364" s="1184" t="s">
        <v>1448</v>
      </c>
      <c r="C364" s="1185"/>
      <c r="D364" s="1186"/>
      <c r="E364" s="742">
        <f>P257</f>
        <v>0</v>
      </c>
      <c r="F364" s="744"/>
      <c r="G364" s="960"/>
      <c r="H364" s="1182"/>
      <c r="I364" s="1183"/>
      <c r="J364" s="1188">
        <f t="shared" si="55"/>
        <v>0</v>
      </c>
      <c r="K364" s="1188"/>
      <c r="L364" s="972"/>
      <c r="M364" s="973"/>
      <c r="N364" s="973"/>
      <c r="O364" s="974"/>
      <c r="P364" s="1154"/>
      <c r="Q364" s="2"/>
      <c r="R364" s="10"/>
      <c r="S364" s="147">
        <f t="shared" si="56"/>
        <v>0</v>
      </c>
      <c r="T364" s="147">
        <f>LARGE($S$342:$S$367,23)</f>
        <v>0</v>
      </c>
      <c r="U364" s="553">
        <f t="shared" si="50"/>
        <v>0</v>
      </c>
      <c r="V364" s="557">
        <f t="shared" si="51"/>
        <v>0</v>
      </c>
      <c r="W364" s="10"/>
      <c r="X364" s="10"/>
      <c r="Y364" s="21">
        <f t="shared" si="57"/>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3">
      <c r="A365" s="2"/>
      <c r="B365" s="1184" t="s">
        <v>596</v>
      </c>
      <c r="C365" s="1185"/>
      <c r="D365" s="1186"/>
      <c r="E365" s="742">
        <f>IF(P427&gt;0,0,P267)</f>
        <v>0</v>
      </c>
      <c r="F365" s="744"/>
      <c r="G365" s="960"/>
      <c r="H365" s="1182"/>
      <c r="I365" s="1183"/>
      <c r="J365" s="1188">
        <f t="shared" si="55"/>
        <v>0</v>
      </c>
      <c r="K365" s="1188"/>
      <c r="L365" s="972"/>
      <c r="M365" s="973"/>
      <c r="N365" s="973"/>
      <c r="O365" s="974"/>
      <c r="P365" s="1154"/>
      <c r="Q365" s="2"/>
      <c r="R365" s="10"/>
      <c r="S365" s="147">
        <f t="shared" si="56"/>
        <v>0</v>
      </c>
      <c r="T365" s="147">
        <f>LARGE($S$342:$S$367,24)</f>
        <v>0</v>
      </c>
      <c r="U365" s="553">
        <f t="shared" si="50"/>
        <v>0</v>
      </c>
      <c r="V365" s="557">
        <f t="shared" si="51"/>
        <v>0</v>
      </c>
      <c r="W365" s="10"/>
      <c r="X365" s="10"/>
      <c r="Y365" s="21">
        <f t="shared" si="57"/>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3">
      <c r="A366" s="2"/>
      <c r="B366" s="1184" t="s">
        <v>1638</v>
      </c>
      <c r="C366" s="1185"/>
      <c r="D366" s="1186"/>
      <c r="E366" s="742">
        <f>IF(P427&gt;0,0,P337)</f>
        <v>0</v>
      </c>
      <c r="F366" s="744"/>
      <c r="G366" s="960"/>
      <c r="H366" s="1182"/>
      <c r="I366" s="1183"/>
      <c r="J366" s="1188">
        <f t="shared" si="55"/>
        <v>0</v>
      </c>
      <c r="K366" s="1188"/>
      <c r="L366" s="972"/>
      <c r="M366" s="973"/>
      <c r="N366" s="973"/>
      <c r="O366" s="974"/>
      <c r="P366" s="1154"/>
      <c r="Q366" s="2"/>
      <c r="R366" s="10"/>
      <c r="S366" s="147">
        <f t="shared" si="56"/>
        <v>0</v>
      </c>
      <c r="T366" s="147">
        <f>LARGE($S$342:$S$367,25)</f>
        <v>0</v>
      </c>
      <c r="U366" s="553">
        <f t="shared" si="50"/>
        <v>0</v>
      </c>
      <c r="V366" s="557">
        <f t="shared" si="51"/>
        <v>0</v>
      </c>
      <c r="W366" s="10"/>
      <c r="X366" s="10"/>
      <c r="Y366" s="21">
        <f t="shared" si="57"/>
        <v>0</v>
      </c>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3">
      <c r="A367" s="2"/>
      <c r="B367" s="1224" t="s">
        <v>1450</v>
      </c>
      <c r="C367" s="1225"/>
      <c r="D367" s="1226"/>
      <c r="E367" s="1079">
        <f>P270</f>
        <v>0</v>
      </c>
      <c r="F367" s="1187"/>
      <c r="G367" s="940" t="s">
        <v>1941</v>
      </c>
      <c r="H367" s="941"/>
      <c r="I367" s="942"/>
      <c r="J367" s="1141"/>
      <c r="K367" s="1141"/>
      <c r="L367" s="975"/>
      <c r="M367" s="976"/>
      <c r="N367" s="976"/>
      <c r="O367" s="977"/>
      <c r="P367" s="1154"/>
      <c r="Q367" s="2"/>
      <c r="R367" s="10"/>
      <c r="S367" s="147">
        <f t="shared" si="56"/>
        <v>0</v>
      </c>
      <c r="T367" s="147">
        <f>LARGE($S$342:$S$367,26)</f>
        <v>0</v>
      </c>
      <c r="U367" s="10"/>
      <c r="V367" s="10"/>
      <c r="W367" s="10"/>
      <c r="X367" s="10"/>
      <c r="Y367" s="10"/>
      <c r="Z367" s="10"/>
      <c r="AA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5" customHeight="1" x14ac:dyDescent="0.3">
      <c r="A368" s="2"/>
      <c r="B368" s="959" t="s">
        <v>180</v>
      </c>
      <c r="C368" s="959"/>
      <c r="D368" s="959"/>
      <c r="E368" s="959"/>
      <c r="F368" s="959"/>
      <c r="G368" s="959"/>
      <c r="H368" s="959"/>
      <c r="I368" s="959"/>
      <c r="J368" s="959"/>
      <c r="K368" s="959"/>
      <c r="L368" s="959"/>
      <c r="M368" s="959"/>
      <c r="N368" s="959"/>
      <c r="O368" s="959"/>
      <c r="P368" s="1154"/>
      <c r="Q368" s="2"/>
      <c r="R368" s="10"/>
      <c r="S368" s="10"/>
      <c r="T368" s="10"/>
      <c r="U368" s="10"/>
      <c r="V368" s="10"/>
      <c r="W368" s="10"/>
      <c r="X368" s="10"/>
      <c r="Y368" s="10"/>
      <c r="Z368" s="10"/>
      <c r="AA368" s="2"/>
      <c r="AB368" s="2"/>
      <c r="AC368" s="2"/>
      <c r="AD368" s="2"/>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3">
      <c r="A369" s="2"/>
      <c r="B369" s="792"/>
      <c r="C369" s="792"/>
      <c r="D369" s="792"/>
      <c r="E369" s="792"/>
      <c r="F369" s="792"/>
      <c r="G369" s="792"/>
      <c r="H369" s="792"/>
      <c r="I369" s="792"/>
      <c r="J369" s="792"/>
      <c r="K369" s="792"/>
      <c r="L369" s="792"/>
      <c r="M369" s="792"/>
      <c r="N369" s="792"/>
      <c r="O369" s="792"/>
      <c r="P369" s="792"/>
      <c r="Q369" s="2"/>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12" customHeight="1" x14ac:dyDescent="0.3">
      <c r="A370" s="2"/>
      <c r="B370" s="1211"/>
      <c r="C370" s="1211"/>
      <c r="D370" s="1211"/>
      <c r="E370" s="1211"/>
      <c r="F370" s="1211"/>
      <c r="G370" s="1211"/>
      <c r="H370" s="1211"/>
      <c r="I370" s="1211"/>
      <c r="J370" s="1211"/>
      <c r="K370" s="1211"/>
      <c r="L370" s="1211"/>
      <c r="M370" s="1211"/>
      <c r="N370" s="1211"/>
      <c r="O370" s="1211"/>
      <c r="P370" s="1211"/>
      <c r="Q370" s="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27.75" customHeight="1" x14ac:dyDescent="0.3">
      <c r="A371" s="2"/>
      <c r="B371" s="910" t="s">
        <v>712</v>
      </c>
      <c r="C371" s="911"/>
      <c r="D371" s="911"/>
      <c r="E371" s="911"/>
      <c r="F371" s="911"/>
      <c r="G371" s="911"/>
      <c r="H371" s="911"/>
      <c r="I371" s="911"/>
      <c r="J371" s="911"/>
      <c r="K371" s="911"/>
      <c r="L371" s="911"/>
      <c r="M371" s="911"/>
      <c r="N371" s="911"/>
      <c r="O371" s="911"/>
      <c r="P371" s="395" t="s">
        <v>713</v>
      </c>
      <c r="Q371" s="2"/>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9" customHeight="1" x14ac:dyDescent="0.4">
      <c r="A372" s="2"/>
      <c r="B372" s="1242"/>
      <c r="C372" s="1242"/>
      <c r="D372" s="1242"/>
      <c r="E372" s="1242"/>
      <c r="F372" s="1242"/>
      <c r="G372" s="1242"/>
      <c r="H372" s="1242"/>
      <c r="I372" s="1242"/>
      <c r="J372" s="1242"/>
      <c r="K372" s="1242"/>
      <c r="L372" s="1242"/>
      <c r="M372" s="1242"/>
      <c r="N372" s="1242"/>
      <c r="O372" s="1242"/>
      <c r="P372" s="387"/>
      <c r="Q372" s="2"/>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21" customHeight="1" x14ac:dyDescent="0.3">
      <c r="A373" s="15"/>
      <c r="B373" s="1241" t="s">
        <v>1199</v>
      </c>
      <c r="C373" s="1241"/>
      <c r="D373" s="1241"/>
      <c r="E373" s="1241"/>
      <c r="F373" s="1241"/>
      <c r="G373" s="1241"/>
      <c r="H373" s="1241"/>
      <c r="I373" s="1241"/>
      <c r="J373" s="1241"/>
      <c r="K373" s="1241"/>
      <c r="L373" s="1241"/>
      <c r="M373" s="1241"/>
      <c r="N373" s="1241"/>
      <c r="O373" s="1241"/>
      <c r="P373" s="21">
        <f>IF(R373=2,1,0)</f>
        <v>0</v>
      </c>
      <c r="Q373" s="2"/>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9" customHeight="1" x14ac:dyDescent="0.35">
      <c r="A374" s="2"/>
      <c r="B374" s="1211"/>
      <c r="C374" s="1211"/>
      <c r="D374" s="1211"/>
      <c r="E374" s="1211"/>
      <c r="F374" s="1211"/>
      <c r="G374" s="1211"/>
      <c r="H374" s="1211"/>
      <c r="I374" s="1211"/>
      <c r="J374" s="1211"/>
      <c r="K374" s="1211"/>
      <c r="L374" s="1211"/>
      <c r="M374" s="1211"/>
      <c r="N374" s="1211"/>
      <c r="O374" s="1211"/>
      <c r="P374" s="81"/>
      <c r="Q374" s="2"/>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18" customHeight="1" x14ac:dyDescent="0.3">
      <c r="A375" s="2"/>
      <c r="B375" s="925" t="s">
        <v>1594</v>
      </c>
      <c r="C375" s="925"/>
      <c r="D375" s="925"/>
      <c r="E375" s="925"/>
      <c r="F375" s="925"/>
      <c r="G375" s="925"/>
      <c r="H375" s="925"/>
      <c r="I375" s="925"/>
      <c r="J375" s="925"/>
      <c r="K375" s="925"/>
      <c r="L375" s="925"/>
      <c r="M375" s="925"/>
      <c r="N375" s="925"/>
      <c r="O375" s="925"/>
      <c r="P375" s="925"/>
      <c r="Q375" s="2"/>
      <c r="R375" s="10"/>
      <c r="S375" s="10"/>
      <c r="T375" s="39"/>
      <c r="U375" s="39"/>
      <c r="V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27" customHeight="1" x14ac:dyDescent="0.3">
      <c r="A376" s="2"/>
      <c r="B376" s="276"/>
      <c r="C376" s="925" t="s">
        <v>1595</v>
      </c>
      <c r="D376" s="925"/>
      <c r="E376" s="925"/>
      <c r="F376" s="925"/>
      <c r="G376" s="927" t="s">
        <v>1081</v>
      </c>
      <c r="H376" s="927"/>
      <c r="I376" s="927"/>
      <c r="J376" s="927"/>
      <c r="K376" s="927"/>
      <c r="L376" s="1229"/>
      <c r="M376" s="1230"/>
      <c r="N376" s="1230"/>
      <c r="O376" s="1231"/>
      <c r="P376" s="925"/>
      <c r="Q376" s="2"/>
      <c r="R376" s="10"/>
      <c r="S376" s="50" t="s">
        <v>1572</v>
      </c>
      <c r="T376" s="259" t="s">
        <v>1595</v>
      </c>
      <c r="U376" s="259" t="s">
        <v>1596</v>
      </c>
      <c r="V376" s="925" t="s">
        <v>1083</v>
      </c>
      <c r="W376" s="925"/>
      <c r="X376" s="925"/>
      <c r="Y376" s="925"/>
      <c r="Z376" s="259" t="s">
        <v>2225</v>
      </c>
      <c r="AA376" s="259" t="s">
        <v>2226</v>
      </c>
      <c r="AB376" s="128" t="s">
        <v>1206</v>
      </c>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3">
      <c r="A377" s="2"/>
      <c r="B377" s="147" t="s">
        <v>1200</v>
      </c>
      <c r="C377" s="708"/>
      <c r="D377" s="708"/>
      <c r="E377" s="948">
        <f>LETable!AJ55</f>
        <v>0</v>
      </c>
      <c r="F377" s="948"/>
      <c r="G377" s="708"/>
      <c r="H377" s="708"/>
      <c r="I377" s="708"/>
      <c r="J377" s="929">
        <f>IF(C377="",0,IF(OR(C377&lt;=0,G377&lt;=0),E377,IF(G377&lt;C377,0,LETable!AO55)))</f>
        <v>0</v>
      </c>
      <c r="K377" s="929"/>
      <c r="L377" s="946" t="str">
        <f>IF(OR(C377="NA",G377="NA"),"",IF(AND(C377&lt;&gt;"",G377=""),"Enter contralateral or NA.",IF(AND(C377="",G377&lt;&gt;""),"Need data","")))</f>
        <v/>
      </c>
      <c r="M377" s="946"/>
      <c r="N377" s="946"/>
      <c r="O377" s="946"/>
      <c r="P377" s="925"/>
      <c r="Q377" s="2"/>
      <c r="R377" s="50" t="s">
        <v>1201</v>
      </c>
      <c r="S377" s="531">
        <v>150</v>
      </c>
      <c r="T377" s="50" t="str">
        <f>IF(OR(C377="",C377="NA"),"",IF(C377&gt;S377,S377,IF(C377&lt;0,0,C377)))</f>
        <v/>
      </c>
      <c r="U377" s="50" t="str">
        <f>IF(OR(G377="",G377="NA"),"",IF(G377&gt;S377,S377,IF(G377&lt;0,0,G377)))</f>
        <v/>
      </c>
      <c r="V377" s="562" t="str">
        <f>IF(Y377="","",ROUND(Y377,0))</f>
        <v/>
      </c>
      <c r="W377" s="925" t="s">
        <v>1202</v>
      </c>
      <c r="X377" s="925"/>
      <c r="Y377" s="563" t="str">
        <f>IF(T377="","",IF(OR(U377="",U377=0,U377&lt;T377),T377,(T377*S377)/U377))</f>
        <v/>
      </c>
      <c r="Z377" s="50">
        <f>IF(AND(C378&lt;&gt;"",C378&lt;&gt;"NA"),1,0)</f>
        <v>0</v>
      </c>
      <c r="AA377" s="50">
        <f>IF(AND(C377&lt;&gt;"",C377&lt;&gt;"NA"),1,0)</f>
        <v>0</v>
      </c>
      <c r="AB377" s="115">
        <f>MAX(E378,E380)</f>
        <v>0</v>
      </c>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3">
      <c r="A378" s="2"/>
      <c r="B378" s="147" t="s">
        <v>1203</v>
      </c>
      <c r="C378" s="708"/>
      <c r="D378" s="708"/>
      <c r="E378" s="948">
        <f>IF(AND($Z$379&gt;0,$AA$379&gt;0),"ERROR",LETable!AJ56)</f>
        <v>0</v>
      </c>
      <c r="F378" s="948"/>
      <c r="G378" s="1238" t="str">
        <f>IF(E378="ERROR","Cannot rate ROM and ankylosis.","")</f>
        <v/>
      </c>
      <c r="H378" s="1239"/>
      <c r="I378" s="1239"/>
      <c r="J378" s="1239"/>
      <c r="K378" s="1239"/>
      <c r="L378" s="1239"/>
      <c r="M378" s="1239"/>
      <c r="N378" s="1239"/>
      <c r="O378" s="1240"/>
      <c r="P378" s="925"/>
      <c r="Q378" s="2"/>
      <c r="R378" s="50">
        <f>IF(R379="ERROR",1,0)</f>
        <v>0</v>
      </c>
      <c r="S378" s="531">
        <v>150</v>
      </c>
      <c r="T378" s="50" t="str">
        <f>IF(OR(C378="",C378="NA"),"",IF(C378&gt;S378,S378,IF(C378&lt;0,0,C378)))</f>
        <v/>
      </c>
      <c r="U378" s="10"/>
      <c r="V378" s="61"/>
      <c r="W378" s="10"/>
      <c r="X378" s="10"/>
      <c r="Y378" s="131"/>
      <c r="Z378" s="50">
        <f>IF(AND(C380&lt;&gt;"",C380&lt;&gt;"NA"),1,0)</f>
        <v>0</v>
      </c>
      <c r="AA378" s="50">
        <f>IF(AND(C379&lt;&gt;"",C379&lt;&gt;"NA"),1,0)</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3.5" customHeight="1" x14ac:dyDescent="0.3">
      <c r="A379" s="2"/>
      <c r="B379" s="147" t="s">
        <v>1204</v>
      </c>
      <c r="C379" s="708"/>
      <c r="D379" s="708"/>
      <c r="E379" s="948">
        <f>LETable!AJ57</f>
        <v>0</v>
      </c>
      <c r="F379" s="948"/>
      <c r="G379" s="708"/>
      <c r="H379" s="708"/>
      <c r="I379" s="708"/>
      <c r="J379" s="929">
        <f>IF(C379="",0,IF(OR(C379&gt;=150,G379&gt;=150),E379,IF(G379&gt;C379,0,LETable!AO57)))</f>
        <v>0</v>
      </c>
      <c r="K379" s="929"/>
      <c r="L379" s="946" t="str">
        <f>IF(OR(C379="NA",G379="NA"),"",IF(AND(C379&lt;&gt;"",G379=""),"Enter contralateral or NA.",IF(AND(C379="",G379&lt;&gt;""),"Need data","")))</f>
        <v/>
      </c>
      <c r="M379" s="946"/>
      <c r="N379" s="946"/>
      <c r="O379" s="946"/>
      <c r="P379" s="925"/>
      <c r="Q379" s="2"/>
      <c r="R379" s="611">
        <f>IF(OR(E378="ERROR",E380="ERROR"),"ERROR",J377+J379+AB377)</f>
        <v>0</v>
      </c>
      <c r="S379" s="531">
        <v>150</v>
      </c>
      <c r="T379" s="50" t="str">
        <f>IF(OR(C379="",C379="NA"),"",IF(C379&gt;S379,S379,IF(C379&lt;0,0,C379)))</f>
        <v/>
      </c>
      <c r="U379" s="50" t="str">
        <f>IF(OR(G379="",G379="NA"),"",IF(G379&gt;S379,S379,IF(G379&lt;0,0,G379)))</f>
        <v/>
      </c>
      <c r="V379" s="562" t="str">
        <f>IF(Y379="","",ROUND(Y379,0))</f>
        <v/>
      </c>
      <c r="W379" s="50">
        <f>IF(T379="",0,S379-T379)</f>
        <v>0</v>
      </c>
      <c r="X379" s="50">
        <f>IF(U379="",0,S379-U379)</f>
        <v>0</v>
      </c>
      <c r="Y379" s="563" t="str">
        <f>IF(T379="","",IF(OR(U379="",U379=0,U379&gt;T379),T379,S379-(W379*S379)/X379))</f>
        <v/>
      </c>
      <c r="Z379" s="50">
        <f>Z377+Z378</f>
        <v>0</v>
      </c>
      <c r="AA379" s="50">
        <f>AA377+AA378</f>
        <v>0</v>
      </c>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5" customHeight="1" x14ac:dyDescent="0.3">
      <c r="A380" s="2"/>
      <c r="B380" s="147" t="s">
        <v>1205</v>
      </c>
      <c r="C380" s="708"/>
      <c r="D380" s="708"/>
      <c r="E380" s="948">
        <f>IF(AND($Z$379&gt;0,$AA$379&gt;0),"ERROR",LETable!AJ58)</f>
        <v>0</v>
      </c>
      <c r="F380" s="948"/>
      <c r="G380" s="1203" t="str">
        <f>IF(E380="ERROR","Cannot rate ROM and ankylosis.",IF(AND(C378&lt;&gt;"",C378&lt;&gt;"NA",C380&lt;&gt;"",C380&lt;&gt;"NA"),"Multiple ankylosis values; use higher value only.",""))</f>
        <v/>
      </c>
      <c r="H380" s="1204"/>
      <c r="I380" s="1204"/>
      <c r="J380" s="1204"/>
      <c r="K380" s="1204"/>
      <c r="L380" s="1204"/>
      <c r="M380" s="1204"/>
      <c r="N380" s="1204"/>
      <c r="O380" s="1205"/>
      <c r="P380" s="925"/>
      <c r="Q380" s="2"/>
      <c r="R380" s="147">
        <f>IF(R378=1,"ERROR",IF(AND(R379&gt;0,R379&lt;0.01),0.01,ROUND(R379,2)))</f>
        <v>0</v>
      </c>
      <c r="S380" s="531">
        <v>150</v>
      </c>
      <c r="T380" s="50" t="str">
        <f>IF(OR(C380="",C380="NA"),"",IF(C380&gt;S380,S380,IF(C380&lt;0,0,C380)))</f>
        <v/>
      </c>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3.5" customHeight="1" x14ac:dyDescent="0.3">
      <c r="A381" s="2"/>
      <c r="B381" s="1232"/>
      <c r="C381" s="1232"/>
      <c r="D381" s="1232"/>
      <c r="E381" s="1232"/>
      <c r="F381" s="1232"/>
      <c r="G381" s="1232"/>
      <c r="H381" s="1099" t="s">
        <v>1733</v>
      </c>
      <c r="I381" s="1100"/>
      <c r="J381" s="1100"/>
      <c r="K381" s="1100"/>
      <c r="L381" s="1100"/>
      <c r="M381" s="1100"/>
      <c r="N381" s="1100"/>
      <c r="O381" s="1101"/>
      <c r="P381" s="248">
        <f>IF(R380="ERROR","ERROR",IF(R380&gt;1,1,R380))</f>
        <v>0</v>
      </c>
      <c r="Q381" s="2"/>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3">
      <c r="A382" s="2"/>
      <c r="B382" s="147" t="s">
        <v>172</v>
      </c>
      <c r="C382" s="708"/>
      <c r="D382" s="708"/>
      <c r="E382" s="948">
        <f>LETable!AJ61</f>
        <v>0</v>
      </c>
      <c r="F382" s="948"/>
      <c r="G382" s="708"/>
      <c r="H382" s="708"/>
      <c r="I382" s="708"/>
      <c r="J382" s="929">
        <f>IF(C382="",0,IF(OR(C382&lt;=0,G382&lt;=0),E382,IF(G382&lt;C382,0,LETable!AO61)))</f>
        <v>0</v>
      </c>
      <c r="K382" s="929"/>
      <c r="L382" s="1173" t="str">
        <f t="shared" ref="L382:L387" si="58">IF(OR(C382="NA",G382="NA"),"",IF(AND(C382&lt;&gt;"",G382=""),"Enter contralateral or NA.",IF(AND(C382="",G382&lt;&gt;""),"Need data","")))</f>
        <v/>
      </c>
      <c r="M382" s="1173"/>
      <c r="N382" s="1173"/>
      <c r="O382" s="1173"/>
      <c r="P382" s="1237"/>
      <c r="Q382" s="2"/>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05"/>
      <c r="X382" s="605"/>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3">
      <c r="A383" s="2"/>
      <c r="B383" s="147" t="s">
        <v>1020</v>
      </c>
      <c r="C383" s="708"/>
      <c r="D383" s="708"/>
      <c r="E383" s="948">
        <f>LETable!AJ62</f>
        <v>0</v>
      </c>
      <c r="F383" s="948"/>
      <c r="G383" s="708"/>
      <c r="H383" s="708"/>
      <c r="I383" s="708"/>
      <c r="J383" s="929">
        <f>IF(C383="",0,IF(OR(C383&lt;=0,G383&lt;=0),E383,IF(G383&lt;C383,0,LETable!AO62)))</f>
        <v>0</v>
      </c>
      <c r="K383" s="929"/>
      <c r="L383" s="1173" t="str">
        <f t="shared" si="58"/>
        <v/>
      </c>
      <c r="M383" s="1173"/>
      <c r="N383" s="1173"/>
      <c r="O383" s="1173"/>
      <c r="P383" s="1237"/>
      <c r="Q383" s="2"/>
      <c r="R383" s="10"/>
      <c r="S383" s="50">
        <v>30</v>
      </c>
      <c r="T383" s="50" t="str">
        <f t="shared" si="59"/>
        <v/>
      </c>
      <c r="U383" s="50" t="str">
        <f t="shared" si="60"/>
        <v/>
      </c>
      <c r="V383" s="562" t="str">
        <f t="shared" si="61"/>
        <v/>
      </c>
      <c r="W383" s="10"/>
      <c r="X383" s="1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3">
      <c r="A384" s="2"/>
      <c r="B384" s="147" t="s">
        <v>1021</v>
      </c>
      <c r="C384" s="708"/>
      <c r="D384" s="708"/>
      <c r="E384" s="948">
        <f>LETable!AJ63</f>
        <v>0</v>
      </c>
      <c r="F384" s="948"/>
      <c r="G384" s="708"/>
      <c r="H384" s="708"/>
      <c r="I384" s="708"/>
      <c r="J384" s="929">
        <f>IF(C384="",0,IF(OR(C384&lt;=0,G384&lt;=0),E384,IF(G384&lt;C384,0,LETable!AO63)))</f>
        <v>0</v>
      </c>
      <c r="K384" s="929"/>
      <c r="L384" s="1173" t="str">
        <f t="shared" si="58"/>
        <v/>
      </c>
      <c r="M384" s="1173"/>
      <c r="N384" s="1173"/>
      <c r="O384" s="1173"/>
      <c r="P384" s="1237"/>
      <c r="Q384" s="2"/>
      <c r="R384" s="10"/>
      <c r="S384" s="50">
        <v>40</v>
      </c>
      <c r="T384" s="50" t="str">
        <f t="shared" si="59"/>
        <v/>
      </c>
      <c r="U384" s="50" t="str">
        <f t="shared" si="60"/>
        <v/>
      </c>
      <c r="V384" s="562" t="str">
        <f t="shared" si="61"/>
        <v/>
      </c>
      <c r="W384" s="10"/>
      <c r="X384" s="1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3">
      <c r="A385" s="2"/>
      <c r="B385" s="147" t="s">
        <v>1022</v>
      </c>
      <c r="C385" s="708"/>
      <c r="D385" s="708"/>
      <c r="E385" s="948">
        <f>LETable!AJ64</f>
        <v>0</v>
      </c>
      <c r="F385" s="948"/>
      <c r="G385" s="708"/>
      <c r="H385" s="708"/>
      <c r="I385" s="708"/>
      <c r="J385" s="929">
        <f>IF(C385="",0,IF(OR(C385&lt;=0,G385&lt;=0),E385,IF(G385&lt;C385,0,LETable!AO64)))</f>
        <v>0</v>
      </c>
      <c r="K385" s="929"/>
      <c r="L385" s="1173" t="str">
        <f t="shared" si="58"/>
        <v/>
      </c>
      <c r="M385" s="1173"/>
      <c r="N385" s="1173"/>
      <c r="O385" s="1173"/>
      <c r="P385" s="1237"/>
      <c r="Q385" s="2"/>
      <c r="R385" s="10"/>
      <c r="S385" s="50">
        <v>20</v>
      </c>
      <c r="T385" s="50" t="str">
        <f t="shared" si="59"/>
        <v/>
      </c>
      <c r="U385" s="50" t="str">
        <f t="shared" si="60"/>
        <v/>
      </c>
      <c r="V385" s="562" t="str">
        <f t="shared" si="61"/>
        <v/>
      </c>
      <c r="W385" s="10"/>
      <c r="X385" s="1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3">
      <c r="A386" s="2"/>
      <c r="B386" s="147" t="s">
        <v>629</v>
      </c>
      <c r="C386" s="708"/>
      <c r="D386" s="708"/>
      <c r="E386" s="948">
        <f>LETable!AJ65</f>
        <v>0</v>
      </c>
      <c r="F386" s="948"/>
      <c r="G386" s="708"/>
      <c r="H386" s="708"/>
      <c r="I386" s="708"/>
      <c r="J386" s="929">
        <f>IF(C386="",0,IF(OR(C386&lt;=0,G386&lt;=0),E386,IF(G386&lt;C386,0,LETable!AO65)))</f>
        <v>0</v>
      </c>
      <c r="K386" s="929"/>
      <c r="L386" s="1173" t="str">
        <f t="shared" si="58"/>
        <v/>
      </c>
      <c r="M386" s="1173"/>
      <c r="N386" s="1173"/>
      <c r="O386" s="1173"/>
      <c r="P386" s="1237"/>
      <c r="Q386" s="2"/>
      <c r="R386" s="553">
        <f>SUM(J382:K387)</f>
        <v>0</v>
      </c>
      <c r="S386" s="50">
        <v>40</v>
      </c>
      <c r="T386" s="50" t="str">
        <f t="shared" si="59"/>
        <v/>
      </c>
      <c r="U386" s="50" t="str">
        <f t="shared" si="60"/>
        <v/>
      </c>
      <c r="V386" s="562" t="str">
        <f t="shared" si="61"/>
        <v/>
      </c>
      <c r="W386" s="10"/>
      <c r="X386" s="1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3">
      <c r="A387" s="2"/>
      <c r="B387" s="147" t="s">
        <v>630</v>
      </c>
      <c r="C387" s="708"/>
      <c r="D387" s="708"/>
      <c r="E387" s="948">
        <f>LETable!AJ66</f>
        <v>0</v>
      </c>
      <c r="F387" s="948"/>
      <c r="G387" s="708"/>
      <c r="H387" s="708"/>
      <c r="I387" s="708"/>
      <c r="J387" s="929">
        <f>IF(C387="",0,IF(OR(C387&lt;=0,G387&lt;=0),E387,IF(G387&lt;C387,0,LETable!AO66)))</f>
        <v>0</v>
      </c>
      <c r="K387" s="929"/>
      <c r="L387" s="1173" t="str">
        <f t="shared" si="58"/>
        <v/>
      </c>
      <c r="M387" s="1173"/>
      <c r="N387" s="1173"/>
      <c r="O387" s="1173"/>
      <c r="P387" s="1237"/>
      <c r="Q387" s="2"/>
      <c r="R387" s="147">
        <f>IF(AND(R386&gt;0,R386&lt;0.01),0.01,ROUND(R386,2))</f>
        <v>0</v>
      </c>
      <c r="S387" s="50">
        <v>50</v>
      </c>
      <c r="T387" s="50" t="str">
        <f t="shared" si="59"/>
        <v/>
      </c>
      <c r="U387" s="50" t="str">
        <f t="shared" si="60"/>
        <v/>
      </c>
      <c r="V387" s="562" t="str">
        <f t="shared" si="61"/>
        <v/>
      </c>
      <c r="W387" s="575"/>
      <c r="X387" s="57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5" customHeight="1" x14ac:dyDescent="0.3">
      <c r="A388" s="2"/>
      <c r="B388" s="1099" t="s">
        <v>1734</v>
      </c>
      <c r="C388" s="1100"/>
      <c r="D388" s="1100"/>
      <c r="E388" s="1100"/>
      <c r="F388" s="1100"/>
      <c r="G388" s="1100"/>
      <c r="H388" s="1100"/>
      <c r="I388" s="1100"/>
      <c r="J388" s="1100"/>
      <c r="K388" s="1100"/>
      <c r="L388" s="1100"/>
      <c r="M388" s="1100"/>
      <c r="N388" s="1100"/>
      <c r="O388" s="1101"/>
      <c r="P388" s="248">
        <f>IF(R387&gt;1,1,R387)</f>
        <v>0</v>
      </c>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2" customHeight="1" x14ac:dyDescent="0.3">
      <c r="A389" s="2"/>
      <c r="B389" s="1169"/>
      <c r="C389" s="1169"/>
      <c r="D389" s="1169"/>
      <c r="E389" s="1169"/>
      <c r="F389" s="1169"/>
      <c r="G389" s="1169"/>
      <c r="H389" s="1169"/>
      <c r="I389" s="1169"/>
      <c r="J389" s="1169"/>
      <c r="K389" s="1169"/>
      <c r="L389" s="1169"/>
      <c r="M389" s="1169"/>
      <c r="N389" s="1169"/>
      <c r="O389" s="1169"/>
      <c r="P389" s="63"/>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18" customHeight="1" x14ac:dyDescent="0.3">
      <c r="A390" s="2"/>
      <c r="B390" s="1189" t="s">
        <v>1460</v>
      </c>
      <c r="C390" s="1189"/>
      <c r="D390" s="1189"/>
      <c r="E390" s="1189"/>
      <c r="F390" s="1189"/>
      <c r="G390" s="1189"/>
      <c r="H390" s="1189"/>
      <c r="I390" s="1189"/>
      <c r="J390" s="1189"/>
      <c r="K390" s="1189"/>
      <c r="L390" s="1189"/>
      <c r="M390" s="1189"/>
      <c r="N390" s="1189"/>
      <c r="O390" s="1189"/>
      <c r="P390" s="1235"/>
      <c r="Q390" s="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27" customHeight="1" x14ac:dyDescent="0.3">
      <c r="A391" s="2"/>
      <c r="B391" s="776" t="s">
        <v>608</v>
      </c>
      <c r="C391" s="776"/>
      <c r="D391" s="776"/>
      <c r="E391" s="776"/>
      <c r="F391" s="776"/>
      <c r="G391" s="776"/>
      <c r="H391" s="776"/>
      <c r="I391" s="776"/>
      <c r="J391" s="776"/>
      <c r="K391" s="776"/>
      <c r="L391" s="776"/>
      <c r="M391" s="776"/>
      <c r="N391" s="776"/>
      <c r="O391" s="776"/>
      <c r="P391" s="1235"/>
      <c r="Q391" s="2"/>
      <c r="R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8" customHeight="1" x14ac:dyDescent="0.3">
      <c r="A392" s="2"/>
      <c r="B392" s="292" t="s">
        <v>154</v>
      </c>
      <c r="C392" s="1026"/>
      <c r="D392" s="1234"/>
      <c r="E392" s="1234"/>
      <c r="F392" s="1234"/>
      <c r="G392" s="1234"/>
      <c r="H392" s="1234"/>
      <c r="I392" s="1234"/>
      <c r="J392" s="1234"/>
      <c r="K392" s="1234"/>
      <c r="L392" s="1234"/>
      <c r="M392" s="1234"/>
      <c r="N392" s="1234"/>
      <c r="O392" s="1234"/>
      <c r="P392" s="82">
        <f>IF(C392=S392,0,IF(C392=T392,0.05,IF(C392=U392,0.1,IF(C392=V392,0.15,IF(C392=W392,0.2,0)))))</f>
        <v>0</v>
      </c>
      <c r="Q392" s="2"/>
      <c r="R392" s="341" t="s">
        <v>2196</v>
      </c>
      <c r="S392" s="50" t="s">
        <v>1941</v>
      </c>
      <c r="T392" s="50" t="s">
        <v>609</v>
      </c>
      <c r="U392" s="50" t="s">
        <v>610</v>
      </c>
      <c r="V392" s="50" t="s">
        <v>152</v>
      </c>
      <c r="W392" s="50" t="s">
        <v>153</v>
      </c>
      <c r="X392" s="5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2" customHeight="1" x14ac:dyDescent="0.3">
      <c r="A393" s="2"/>
      <c r="B393" s="1169"/>
      <c r="C393" s="1169"/>
      <c r="D393" s="1169"/>
      <c r="E393" s="1169"/>
      <c r="F393" s="1169"/>
      <c r="G393" s="1169"/>
      <c r="H393" s="1169"/>
      <c r="I393" s="1169"/>
      <c r="J393" s="1169"/>
      <c r="K393" s="1169"/>
      <c r="L393" s="1169"/>
      <c r="M393" s="1169"/>
      <c r="N393" s="1169"/>
      <c r="O393" s="1169"/>
      <c r="P393" s="63"/>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18" customHeight="1" x14ac:dyDescent="0.3">
      <c r="A394" s="2"/>
      <c r="B394" s="1189" t="s">
        <v>1461</v>
      </c>
      <c r="C394" s="1189"/>
      <c r="D394" s="1189"/>
      <c r="E394" s="1189"/>
      <c r="F394" s="1189"/>
      <c r="G394" s="1189"/>
      <c r="H394" s="1189"/>
      <c r="I394" s="1189"/>
      <c r="J394" s="1189"/>
      <c r="K394" s="1189"/>
      <c r="L394" s="1189"/>
      <c r="M394" s="1189"/>
      <c r="N394" s="1189"/>
      <c r="O394" s="1189"/>
      <c r="P394" s="1235"/>
      <c r="Q394" s="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40.5" customHeight="1" x14ac:dyDescent="0.3">
      <c r="A395" s="2"/>
      <c r="B395" s="776" t="s">
        <v>343</v>
      </c>
      <c r="C395" s="776"/>
      <c r="D395" s="776"/>
      <c r="E395" s="776"/>
      <c r="F395" s="776"/>
      <c r="G395" s="776"/>
      <c r="H395" s="776"/>
      <c r="I395" s="776"/>
      <c r="J395" s="776"/>
      <c r="K395" s="776"/>
      <c r="L395" s="776"/>
      <c r="M395" s="776"/>
      <c r="N395" s="776"/>
      <c r="O395" s="776"/>
      <c r="P395" s="1235"/>
      <c r="Q395" s="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8" customHeight="1" x14ac:dyDescent="0.3">
      <c r="A396" s="2"/>
      <c r="B396" s="19" t="s">
        <v>1308</v>
      </c>
      <c r="C396" s="927" t="s">
        <v>1309</v>
      </c>
      <c r="D396" s="927"/>
      <c r="E396" s="927"/>
      <c r="F396" s="927"/>
      <c r="G396" s="927"/>
      <c r="H396" s="927"/>
      <c r="I396" s="927"/>
      <c r="J396" s="927"/>
      <c r="K396" s="927"/>
      <c r="L396" s="927"/>
      <c r="M396" s="927"/>
      <c r="N396" s="927"/>
      <c r="O396" s="927"/>
      <c r="P396" s="300"/>
      <c r="Q396" s="2"/>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3">
      <c r="A397" s="2"/>
      <c r="B397" s="292" t="s">
        <v>1310</v>
      </c>
      <c r="C397" s="1026"/>
      <c r="D397" s="1026"/>
      <c r="E397" s="1026"/>
      <c r="F397" s="1026"/>
      <c r="G397" s="1026"/>
      <c r="H397" s="1026"/>
      <c r="I397" s="1026"/>
      <c r="J397" s="1026"/>
      <c r="K397" s="1026"/>
      <c r="L397" s="1026"/>
      <c r="M397" s="1026"/>
      <c r="N397" s="1026"/>
      <c r="O397" s="82">
        <f>IF(AND(S417=1,R397=1),0,SUMIF(S395:V395,C397,S396:W396))</f>
        <v>0</v>
      </c>
      <c r="P397" s="925"/>
      <c r="Q397" s="2"/>
      <c r="R397" s="28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3">
      <c r="A398" s="2"/>
      <c r="B398" s="292" t="s">
        <v>1311</v>
      </c>
      <c r="C398" s="1026"/>
      <c r="D398" s="1026"/>
      <c r="E398" s="1026"/>
      <c r="F398" s="1026"/>
      <c r="G398" s="1026"/>
      <c r="H398" s="1026"/>
      <c r="I398" s="1026"/>
      <c r="J398" s="1026"/>
      <c r="K398" s="1026"/>
      <c r="L398" s="1026"/>
      <c r="M398" s="1026"/>
      <c r="N398" s="1026"/>
      <c r="O398" s="82">
        <f>IF(AND(S417=1,R398=1),0,SUMIF(S395:V395,C398,S396:V396))</f>
        <v>0</v>
      </c>
      <c r="P398" s="925"/>
      <c r="Q398" s="2"/>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3">
      <c r="A399" s="2"/>
      <c r="B399" s="292" t="s">
        <v>1312</v>
      </c>
      <c r="C399" s="1026"/>
      <c r="D399" s="1026"/>
      <c r="E399" s="1026"/>
      <c r="F399" s="1026"/>
      <c r="G399" s="1026"/>
      <c r="H399" s="1026"/>
      <c r="I399" s="1026"/>
      <c r="J399" s="1026"/>
      <c r="K399" s="1026"/>
      <c r="L399" s="1026"/>
      <c r="M399" s="1026"/>
      <c r="N399" s="1026"/>
      <c r="O399" s="82">
        <f>IF(AND(S417=1,R399=1),0,SUMIF(S395:V395,C399,S397:V397))</f>
        <v>0</v>
      </c>
      <c r="P399" s="925"/>
      <c r="Q399" s="2"/>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15" customHeight="1" x14ac:dyDescent="0.3">
      <c r="A400" s="2"/>
      <c r="B400" s="292" t="s">
        <v>1313</v>
      </c>
      <c r="C400" s="1026"/>
      <c r="D400" s="1026"/>
      <c r="E400" s="1026"/>
      <c r="F400" s="1026"/>
      <c r="G400" s="1026"/>
      <c r="H400" s="1026"/>
      <c r="I400" s="1026"/>
      <c r="J400" s="1026"/>
      <c r="K400" s="1026"/>
      <c r="L400" s="1026"/>
      <c r="M400" s="1026"/>
      <c r="N400" s="1026"/>
      <c r="O400" s="82">
        <f>IF(AND(S417=1,R400=1),0,SUMIF(S395:V395,C400,S397:V397))</f>
        <v>0</v>
      </c>
      <c r="P400" s="925"/>
      <c r="Q400" s="2"/>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27" customHeight="1" x14ac:dyDescent="0.3">
      <c r="A401" s="2"/>
      <c r="B401" s="1198" t="str">
        <f>IF(AND(S417=1,R401&gt;0),"When there is a prosthetic knee replacement, instability only receives a value if the severity is Grade 2 or greater.","")</f>
        <v/>
      </c>
      <c r="C401" s="1199"/>
      <c r="D401" s="1199"/>
      <c r="E401" s="1199"/>
      <c r="F401" s="1199"/>
      <c r="G401" s="1199"/>
      <c r="H401" s="1199"/>
      <c r="I401" s="1200"/>
      <c r="J401" s="1341" t="s">
        <v>1314</v>
      </c>
      <c r="K401" s="1341"/>
      <c r="L401" s="1341"/>
      <c r="M401" s="1341"/>
      <c r="N401" s="1341"/>
      <c r="O401" s="1341"/>
      <c r="P401" s="82">
        <f>AA398</f>
        <v>0</v>
      </c>
      <c r="Q401" s="2"/>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2" customHeight="1" x14ac:dyDescent="0.3">
      <c r="A402" s="2"/>
      <c r="B402" s="1169"/>
      <c r="C402" s="1169"/>
      <c r="D402" s="1169"/>
      <c r="E402" s="1169"/>
      <c r="F402" s="1169"/>
      <c r="G402" s="1169"/>
      <c r="H402" s="1169"/>
      <c r="I402" s="1169"/>
      <c r="J402" s="1169"/>
      <c r="K402" s="1169"/>
      <c r="L402" s="1169"/>
      <c r="M402" s="1169"/>
      <c r="N402" s="1169"/>
      <c r="O402" s="1169"/>
      <c r="P402" s="2"/>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4" x14ac:dyDescent="0.3">
      <c r="A403" s="2"/>
      <c r="B403" s="925" t="s">
        <v>950</v>
      </c>
      <c r="C403" s="925"/>
      <c r="D403" s="925"/>
      <c r="E403" s="925"/>
      <c r="F403" s="925"/>
      <c r="G403" s="925"/>
      <c r="H403" s="925"/>
      <c r="I403" s="925"/>
      <c r="J403" s="925"/>
      <c r="K403" s="925"/>
      <c r="L403" s="925"/>
      <c r="M403" s="925"/>
      <c r="N403" s="925"/>
      <c r="O403" s="925"/>
      <c r="P403" s="385"/>
      <c r="Q403" s="2"/>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8" customHeight="1" x14ac:dyDescent="0.3">
      <c r="A404" s="15"/>
      <c r="B404" s="146" t="s">
        <v>1316</v>
      </c>
      <c r="C404" s="925"/>
      <c r="D404" s="925"/>
      <c r="E404" s="925"/>
      <c r="F404" s="925"/>
      <c r="G404" s="925"/>
      <c r="H404" s="925"/>
      <c r="I404" s="925"/>
      <c r="J404" s="925"/>
      <c r="K404" s="925"/>
      <c r="L404" s="925"/>
      <c r="M404" s="925"/>
      <c r="N404" s="925"/>
      <c r="O404" s="925"/>
      <c r="P404" s="82">
        <f>IF(R404=1,0,IF(R404=2,0.1,IF(R404=3,0.1)))</f>
        <v>0</v>
      </c>
      <c r="Q404" s="2"/>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2" customHeight="1" x14ac:dyDescent="0.3">
      <c r="A405" s="2"/>
      <c r="B405" s="1169"/>
      <c r="C405" s="1169"/>
      <c r="D405" s="1169"/>
      <c r="E405" s="1169"/>
      <c r="F405" s="1169"/>
      <c r="G405" s="1169"/>
      <c r="H405" s="1169"/>
      <c r="I405" s="1169"/>
      <c r="J405" s="1169"/>
      <c r="K405" s="1169"/>
      <c r="L405" s="1169"/>
      <c r="M405" s="1169"/>
      <c r="N405" s="1169"/>
      <c r="O405" s="1169"/>
      <c r="P405" s="2"/>
      <c r="Q405" s="2"/>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3">
      <c r="A406" s="2"/>
      <c r="B406" s="925" t="s">
        <v>1921</v>
      </c>
      <c r="C406" s="925"/>
      <c r="D406" s="925"/>
      <c r="E406" s="925"/>
      <c r="F406" s="925"/>
      <c r="G406" s="925"/>
      <c r="H406" s="925"/>
      <c r="I406" s="925"/>
      <c r="J406" s="925"/>
      <c r="K406" s="925"/>
      <c r="L406" s="925"/>
      <c r="M406" s="925"/>
      <c r="N406" s="925"/>
      <c r="O406" s="925"/>
      <c r="P406" s="385"/>
      <c r="Q406" s="2"/>
      <c r="R406" s="947"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8" customHeight="1" x14ac:dyDescent="0.3">
      <c r="A407" s="2"/>
      <c r="B407" s="146" t="s">
        <v>1767</v>
      </c>
      <c r="C407" s="1026"/>
      <c r="D407" s="1026"/>
      <c r="E407" s="1026"/>
      <c r="F407" s="1026"/>
      <c r="G407" s="1026"/>
      <c r="H407" s="1026"/>
      <c r="I407" s="1026"/>
      <c r="J407" s="1026"/>
      <c r="K407" s="1026"/>
      <c r="L407" s="1026"/>
      <c r="M407" s="1026"/>
      <c r="N407" s="1026"/>
      <c r="O407" s="1026"/>
      <c r="P407" s="82">
        <f>SUMIF(S406:AM406,C407,S407:AM407)</f>
        <v>0</v>
      </c>
      <c r="Q407" s="2"/>
      <c r="R407" s="878"/>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12" customHeight="1" x14ac:dyDescent="0.3">
      <c r="A408" s="2"/>
      <c r="B408" s="792"/>
      <c r="C408" s="792"/>
      <c r="D408" s="792"/>
      <c r="E408" s="792"/>
      <c r="F408" s="792"/>
      <c r="G408" s="792"/>
      <c r="H408" s="792"/>
      <c r="I408" s="792"/>
      <c r="J408" s="792"/>
      <c r="K408" s="792"/>
      <c r="L408" s="792"/>
      <c r="M408" s="792"/>
      <c r="N408" s="792"/>
      <c r="O408" s="792"/>
      <c r="P408" s="792"/>
      <c r="Q408" s="2"/>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7.5" customHeight="1" x14ac:dyDescent="0.3">
      <c r="A409" s="2"/>
      <c r="B409" s="1169"/>
      <c r="C409" s="1169"/>
      <c r="D409" s="1169"/>
      <c r="E409" s="1169"/>
      <c r="F409" s="1169"/>
      <c r="G409" s="1169"/>
      <c r="H409" s="1169"/>
      <c r="I409" s="1169"/>
      <c r="J409" s="1169"/>
      <c r="K409" s="1169"/>
      <c r="L409" s="1169"/>
      <c r="M409" s="1169"/>
      <c r="N409" s="1169"/>
      <c r="O409" s="1169"/>
      <c r="P409" s="1169"/>
      <c r="Q409" s="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3">
      <c r="A410" s="2"/>
      <c r="B410" s="925" t="s">
        <v>1922</v>
      </c>
      <c r="C410" s="925"/>
      <c r="D410" s="925"/>
      <c r="E410" s="925"/>
      <c r="F410" s="925"/>
      <c r="G410" s="925"/>
      <c r="H410" s="925"/>
      <c r="I410" s="925"/>
      <c r="J410" s="925"/>
      <c r="K410" s="925"/>
      <c r="L410" s="925"/>
      <c r="M410" s="925"/>
      <c r="N410" s="925"/>
      <c r="O410" s="925"/>
      <c r="P410" s="300"/>
      <c r="Q410" s="2"/>
      <c r="R410" s="947"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3">
      <c r="A411" s="15"/>
      <c r="B411" s="1180" t="s">
        <v>1499</v>
      </c>
      <c r="C411" s="708"/>
      <c r="D411" s="708"/>
      <c r="E411" s="708"/>
      <c r="F411" s="708"/>
      <c r="G411" s="708"/>
      <c r="H411" s="708"/>
      <c r="I411" s="708"/>
      <c r="J411" s="708"/>
      <c r="K411" s="708"/>
      <c r="L411" s="708"/>
      <c r="M411" s="708"/>
      <c r="N411" s="708"/>
      <c r="O411" s="708"/>
      <c r="P411" s="21">
        <f>IF(S417=1,0,SUMIF(S410:X410,C411,S411:X411))</f>
        <v>0</v>
      </c>
      <c r="Q411" s="2"/>
      <c r="R411" s="878"/>
      <c r="S411" s="147">
        <v>0.05</v>
      </c>
      <c r="T411" s="147">
        <v>0.1</v>
      </c>
      <c r="U411" s="557">
        <v>0.05</v>
      </c>
      <c r="V411" s="147">
        <v>0.15</v>
      </c>
      <c r="W411" s="147">
        <v>0.25</v>
      </c>
      <c r="X411" s="14"/>
      <c r="Y411" s="97"/>
      <c r="Z411" s="14"/>
      <c r="AA411" s="10"/>
      <c r="AB411" s="14"/>
      <c r="AC411" s="10"/>
      <c r="AD411" s="10"/>
      <c r="AE411" s="10"/>
      <c r="AF411" s="10"/>
      <c r="AG411" s="10"/>
      <c r="AH411" s="10"/>
      <c r="AI411" s="94"/>
      <c r="AJ411" s="739"/>
      <c r="AK411" s="739"/>
      <c r="AL411" s="739"/>
      <c r="AM411" s="739"/>
      <c r="AN411" s="739"/>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3">
      <c r="A412" s="15"/>
      <c r="B412" s="1181"/>
      <c r="C412" s="940" t="str">
        <f>IF(S417=1,"",IF(P412&gt;0,"(For partial loss of both menisci, each loss is valued at 5%.)",""))</f>
        <v/>
      </c>
      <c r="D412" s="941"/>
      <c r="E412" s="941"/>
      <c r="F412" s="941"/>
      <c r="G412" s="941"/>
      <c r="H412" s="941"/>
      <c r="I412" s="941"/>
      <c r="J412" s="941"/>
      <c r="K412" s="941"/>
      <c r="L412" s="941"/>
      <c r="M412" s="941"/>
      <c r="N412" s="941"/>
      <c r="O412" s="942"/>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3">
      <c r="A413" s="2"/>
      <c r="B413" s="1318" t="str">
        <f>IF(AND(S413=1,S417=1),"Prosthetic knee replacement - no separate award is given for meniscectomy or patellectomy.","")</f>
        <v/>
      </c>
      <c r="C413" s="1022"/>
      <c r="D413" s="1023"/>
      <c r="E413" s="1023"/>
      <c r="F413" s="1023"/>
      <c r="G413" s="1023"/>
      <c r="H413" s="1023"/>
      <c r="I413" s="1023"/>
      <c r="J413" s="1023"/>
      <c r="K413" s="1023"/>
      <c r="L413" s="1023"/>
      <c r="M413" s="1023"/>
      <c r="N413" s="1023"/>
      <c r="O413" s="1023"/>
      <c r="P413" s="21">
        <f>IF($S$417=1,0,IF(OR(R413=2,R413=3,R413=4,R413=5),0.05,0))</f>
        <v>0</v>
      </c>
      <c r="Q413" s="2"/>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3">
      <c r="A414" s="2"/>
      <c r="B414" s="1319"/>
      <c r="C414" s="1022"/>
      <c r="D414" s="1023"/>
      <c r="E414" s="1023"/>
      <c r="F414" s="1023"/>
      <c r="G414" s="1023"/>
      <c r="H414" s="1023"/>
      <c r="I414" s="1023"/>
      <c r="J414" s="1023"/>
      <c r="K414" s="1023"/>
      <c r="L414" s="1023"/>
      <c r="M414" s="1023"/>
      <c r="N414" s="1023"/>
      <c r="O414" s="1023"/>
      <c r="P414" s="21">
        <f>IF($S$417=1,0,IF(OR(R413=3,R413=4,R413=5),0.05,0))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3">
      <c r="A415" s="2"/>
      <c r="B415" s="1319"/>
      <c r="C415" s="1022"/>
      <c r="D415" s="1023"/>
      <c r="E415" s="1023"/>
      <c r="F415" s="1023"/>
      <c r="G415" s="1023"/>
      <c r="H415" s="1023"/>
      <c r="I415" s="1023"/>
      <c r="J415" s="1023"/>
      <c r="K415" s="1023"/>
      <c r="L415" s="1023"/>
      <c r="M415" s="1023"/>
      <c r="N415" s="1023"/>
      <c r="O415" s="1023"/>
      <c r="P415" s="21">
        <f>IF($S$417=1,0,IF(OR(R413=4,R413=5),0.05,0))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3">
      <c r="A416" s="2"/>
      <c r="B416" s="1319"/>
      <c r="C416" s="1022"/>
      <c r="D416" s="1023"/>
      <c r="E416" s="1023"/>
      <c r="F416" s="1023"/>
      <c r="G416" s="1023"/>
      <c r="H416" s="1023"/>
      <c r="I416" s="1023"/>
      <c r="J416" s="1023"/>
      <c r="K416" s="1023"/>
      <c r="L416" s="1023"/>
      <c r="M416" s="1023"/>
      <c r="N416" s="1023"/>
      <c r="O416" s="1023"/>
      <c r="P416" s="21">
        <f>IF($S$417=1,0,IF(R413=5,0.05,0))</f>
        <v>0</v>
      </c>
      <c r="Q416" s="2"/>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3">
      <c r="A417" s="2"/>
      <c r="B417" s="396"/>
      <c r="C417" s="127"/>
      <c r="D417" s="806" t="s">
        <v>1859</v>
      </c>
      <c r="E417" s="806"/>
      <c r="F417" s="806"/>
      <c r="G417" s="806"/>
      <c r="H417" s="806"/>
      <c r="I417" s="806"/>
      <c r="J417" s="806"/>
      <c r="K417" s="806"/>
      <c r="L417" s="806"/>
      <c r="M417" s="806"/>
      <c r="N417" s="806"/>
      <c r="O417" s="806"/>
      <c r="P417" s="21">
        <f>IF(S417=1,0.2,0)</f>
        <v>0</v>
      </c>
      <c r="Q417" s="2"/>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8" customHeight="1" x14ac:dyDescent="0.3">
      <c r="A418" s="2"/>
      <c r="B418" s="397"/>
      <c r="C418" s="127"/>
      <c r="D418" s="806" t="s">
        <v>1860</v>
      </c>
      <c r="E418" s="806"/>
      <c r="F418" s="806"/>
      <c r="G418" s="806"/>
      <c r="H418" s="806"/>
      <c r="I418" s="806"/>
      <c r="J418" s="806"/>
      <c r="K418" s="806"/>
      <c r="L418" s="806"/>
      <c r="M418" s="806"/>
      <c r="N418" s="806"/>
      <c r="O418" s="806"/>
      <c r="P418" s="21">
        <f>IF(S418=1,0.15,0)</f>
        <v>0</v>
      </c>
      <c r="Q418" s="2"/>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2" customHeight="1" x14ac:dyDescent="0.3">
      <c r="A419" s="2"/>
      <c r="B419" s="1169"/>
      <c r="C419" s="1169"/>
      <c r="D419" s="1169"/>
      <c r="E419" s="1169"/>
      <c r="F419" s="1169"/>
      <c r="G419" s="1169"/>
      <c r="H419" s="1169"/>
      <c r="I419" s="1169"/>
      <c r="J419" s="1169"/>
      <c r="K419" s="1169"/>
      <c r="L419" s="1169"/>
      <c r="M419" s="1169"/>
      <c r="N419" s="1169"/>
      <c r="O419" s="1169"/>
      <c r="P419" s="2"/>
      <c r="Q419" s="2"/>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3">
      <c r="A420" s="2"/>
      <c r="B420" s="776" t="s">
        <v>551</v>
      </c>
      <c r="C420" s="776"/>
      <c r="D420" s="776"/>
      <c r="E420" s="776"/>
      <c r="F420" s="776"/>
      <c r="G420" s="776"/>
      <c r="H420" s="776"/>
      <c r="I420" s="776"/>
      <c r="J420" s="776"/>
      <c r="K420" s="776"/>
      <c r="L420" s="776"/>
      <c r="M420" s="776"/>
      <c r="N420" s="708"/>
      <c r="O420" s="708"/>
      <c r="P420" s="21">
        <f>IF(N420=S420,0.03,IF(N420=T420,0.15,IF(N420=U420,0.38,IF(N420=V420,0.68,IF(N420=W420,0.9,0)))))</f>
        <v>0</v>
      </c>
      <c r="Q420" s="2"/>
      <c r="R420" s="947" t="s">
        <v>2196</v>
      </c>
      <c r="S420" s="531" t="s">
        <v>1968</v>
      </c>
      <c r="T420" s="50" t="s">
        <v>1969</v>
      </c>
      <c r="U420" s="147" t="s">
        <v>1971</v>
      </c>
      <c r="V420" s="50" t="s">
        <v>945</v>
      </c>
      <c r="W420" s="147" t="s">
        <v>558</v>
      </c>
      <c r="Y420" s="10"/>
      <c r="Z420" s="10"/>
      <c r="AA420" s="10"/>
      <c r="AB420" s="14"/>
      <c r="AC420" s="10"/>
      <c r="AD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ht="18" customHeight="1" x14ac:dyDescent="0.3">
      <c r="A421" s="2"/>
      <c r="B421" s="776" t="s">
        <v>552</v>
      </c>
      <c r="C421" s="776"/>
      <c r="D421" s="776"/>
      <c r="E421" s="776"/>
      <c r="F421" s="776"/>
      <c r="G421" s="776"/>
      <c r="H421" s="776"/>
      <c r="I421" s="776"/>
      <c r="J421" s="776"/>
      <c r="K421" s="776"/>
      <c r="L421" s="776"/>
      <c r="M421" s="776"/>
      <c r="N421" s="708"/>
      <c r="O421" s="708"/>
      <c r="P421" s="21">
        <f>IF(N421=S420,0.03,IF(N421=T420,0.15,IF(N421=U420,0.35,IF(N421=V420,0.63,IF(N421=W420,0.88,0)))))</f>
        <v>0</v>
      </c>
      <c r="Q421" s="2"/>
      <c r="R421" s="947"/>
      <c r="T421" s="14"/>
      <c r="U421" s="14"/>
      <c r="V421" s="14"/>
      <c r="W421" s="14"/>
      <c r="X421" s="14"/>
      <c r="Y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x14ac:dyDescent="0.3">
      <c r="A422" s="2"/>
      <c r="B422" s="792"/>
      <c r="C422" s="792"/>
      <c r="D422" s="792"/>
      <c r="E422" s="792"/>
      <c r="F422" s="792"/>
      <c r="G422" s="792"/>
      <c r="H422" s="792"/>
      <c r="I422" s="792"/>
      <c r="J422" s="792"/>
      <c r="K422" s="792"/>
      <c r="L422" s="792"/>
      <c r="M422" s="792"/>
      <c r="N422" s="792"/>
      <c r="O422" s="792"/>
      <c r="P422" s="2"/>
      <c r="Q422" s="2"/>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18" customHeight="1" x14ac:dyDescent="0.3">
      <c r="A423" s="2"/>
      <c r="B423" s="1156" t="s">
        <v>1217</v>
      </c>
      <c r="C423" s="925"/>
      <c r="D423" s="925"/>
      <c r="E423" s="925"/>
      <c r="F423" s="925"/>
      <c r="G423" s="925"/>
      <c r="H423" s="925"/>
      <c r="I423" s="925"/>
      <c r="J423" s="925"/>
      <c r="K423" s="925"/>
      <c r="L423" s="925"/>
      <c r="M423" s="925"/>
      <c r="N423" s="925"/>
      <c r="O423" s="940"/>
      <c r="P423" s="303"/>
      <c r="Q423" s="2"/>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27" customHeight="1" x14ac:dyDescent="0.3">
      <c r="A424" s="15"/>
      <c r="B424" s="473" t="s">
        <v>1767</v>
      </c>
      <c r="C424" s="1311" t="s">
        <v>2021</v>
      </c>
      <c r="D424" s="1312"/>
      <c r="E424" s="1312"/>
      <c r="F424" s="1312"/>
      <c r="G424" s="1312"/>
      <c r="H424" s="1312"/>
      <c r="I424" s="1312"/>
      <c r="J424" s="1312"/>
      <c r="K424" s="1312"/>
      <c r="L424" s="1312"/>
      <c r="M424" s="1312"/>
      <c r="N424" s="1312"/>
      <c r="O424" s="1317"/>
      <c r="P424" s="204"/>
      <c r="Q424" s="2"/>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37.5" customHeight="1" x14ac:dyDescent="0.3">
      <c r="A425" s="2"/>
      <c r="B425" s="474"/>
      <c r="C425" s="1311" t="s">
        <v>2022</v>
      </c>
      <c r="D425" s="1312"/>
      <c r="E425" s="1312"/>
      <c r="F425" s="1312"/>
      <c r="G425" s="1312"/>
      <c r="H425" s="1312"/>
      <c r="I425" s="1312"/>
      <c r="J425" s="1312"/>
      <c r="K425" s="1312"/>
      <c r="L425" s="1312"/>
      <c r="M425" s="1312"/>
      <c r="N425" s="1312"/>
      <c r="O425" s="1317"/>
      <c r="P425" s="204"/>
      <c r="Q425" s="2"/>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3">
      <c r="A426" s="2"/>
      <c r="B426" s="474"/>
      <c r="C426" s="1320" t="s">
        <v>2023</v>
      </c>
      <c r="D426" s="1321"/>
      <c r="E426" s="1321"/>
      <c r="F426" s="1321"/>
      <c r="G426" s="1321"/>
      <c r="H426" s="1321"/>
      <c r="I426" s="1321"/>
      <c r="J426" s="1321"/>
      <c r="K426" s="1321"/>
      <c r="L426" s="1321"/>
      <c r="M426" s="1321"/>
      <c r="N426" s="1321"/>
      <c r="O426" s="1322"/>
      <c r="P426" s="20"/>
      <c r="Q426" s="2"/>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27" customHeight="1" x14ac:dyDescent="0.3">
      <c r="A427" s="2"/>
      <c r="B427" s="475"/>
      <c r="C427" s="1311" t="s">
        <v>2024</v>
      </c>
      <c r="D427" s="1312"/>
      <c r="E427" s="1312"/>
      <c r="F427" s="1312"/>
      <c r="G427" s="1312"/>
      <c r="H427" s="1312"/>
      <c r="I427" s="1312"/>
      <c r="J427" s="1312"/>
      <c r="K427" s="1312"/>
      <c r="L427" s="1312"/>
      <c r="M427" s="1312"/>
      <c r="N427" s="1312"/>
      <c r="O427" s="1312"/>
      <c r="P427" s="295">
        <f>IF(R426=1,0.23,IF(R426=2,0.48,IF(R426=3,0.76,IF(R426=4,1,0))))</f>
        <v>0</v>
      </c>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2" customHeight="1" x14ac:dyDescent="0.3">
      <c r="A428" s="2"/>
      <c r="B428" s="792"/>
      <c r="C428" s="792"/>
      <c r="D428" s="792"/>
      <c r="E428" s="792"/>
      <c r="F428" s="792"/>
      <c r="G428" s="792"/>
      <c r="H428" s="792"/>
      <c r="I428" s="792"/>
      <c r="J428" s="792"/>
      <c r="K428" s="792"/>
      <c r="L428" s="792"/>
      <c r="M428" s="792"/>
      <c r="N428" s="792"/>
      <c r="O428" s="792"/>
      <c r="P428" s="2"/>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3">
      <c r="A429" s="2"/>
      <c r="B429" s="1189" t="s">
        <v>1218</v>
      </c>
      <c r="C429" s="1189"/>
      <c r="D429" s="1189"/>
      <c r="E429" s="1189"/>
      <c r="F429" s="1189"/>
      <c r="G429" s="1201"/>
      <c r="H429" s="1201"/>
      <c r="I429" s="1201"/>
      <c r="J429" s="1201"/>
      <c r="K429" s="1201"/>
      <c r="L429" s="1201"/>
      <c r="M429" s="1201"/>
      <c r="N429" s="1201"/>
      <c r="O429" s="1201"/>
      <c r="P429" s="300"/>
      <c r="Q429" s="2"/>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3">
      <c r="A430" s="2"/>
      <c r="B430" s="1312" t="s">
        <v>2238</v>
      </c>
      <c r="C430" s="1312"/>
      <c r="D430" s="1312"/>
      <c r="E430" s="1023"/>
      <c r="F430" s="1083"/>
      <c r="G430" s="764" t="s">
        <v>975</v>
      </c>
      <c r="H430" s="765"/>
      <c r="I430" s="765"/>
      <c r="J430" s="765"/>
      <c r="K430" s="765"/>
      <c r="L430" s="765"/>
      <c r="M430" s="765"/>
      <c r="N430" s="765"/>
      <c r="O430" s="766"/>
      <c r="P430" s="744">
        <f>U436</f>
        <v>0</v>
      </c>
      <c r="Q430" s="2"/>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3">
      <c r="A431" s="15"/>
      <c r="B431" s="1312"/>
      <c r="C431" s="1312"/>
      <c r="D431" s="1312"/>
      <c r="E431" s="1023"/>
      <c r="F431" s="1083"/>
      <c r="G431" s="833" t="s">
        <v>976</v>
      </c>
      <c r="H431" s="713"/>
      <c r="I431" s="713"/>
      <c r="J431" s="713"/>
      <c r="K431" s="713"/>
      <c r="L431" s="713"/>
      <c r="M431" s="713"/>
      <c r="N431" s="713"/>
      <c r="O431" s="834"/>
      <c r="P431" s="752"/>
      <c r="Q431" s="2"/>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3">
      <c r="A432" s="2"/>
      <c r="B432" s="1312"/>
      <c r="C432" s="1312"/>
      <c r="D432" s="1312"/>
      <c r="E432" s="1023"/>
      <c r="F432" s="1083"/>
      <c r="G432" s="833" t="s">
        <v>977</v>
      </c>
      <c r="H432" s="713"/>
      <c r="I432" s="713"/>
      <c r="J432" s="713"/>
      <c r="K432" s="713"/>
      <c r="L432" s="713"/>
      <c r="M432" s="713"/>
      <c r="N432" s="713"/>
      <c r="O432" s="834"/>
      <c r="P432" s="752"/>
      <c r="Q432" s="2"/>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3">
      <c r="A433" s="2"/>
      <c r="B433" s="1312"/>
      <c r="C433" s="1312"/>
      <c r="D433" s="1312"/>
      <c r="E433" s="1297"/>
      <c r="F433" s="1024"/>
      <c r="G433" s="1338" t="s">
        <v>978</v>
      </c>
      <c r="H433" s="1339"/>
      <c r="I433" s="1339"/>
      <c r="J433" s="1339"/>
      <c r="K433" s="1339"/>
      <c r="L433" s="1339"/>
      <c r="M433" s="1339"/>
      <c r="N433" s="1339"/>
      <c r="O433" s="1340"/>
      <c r="P433" s="752"/>
      <c r="Q433" s="2"/>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3">
      <c r="A434" s="2"/>
      <c r="B434" s="1312"/>
      <c r="C434" s="1312"/>
      <c r="D434" s="1312"/>
      <c r="E434" s="1023"/>
      <c r="F434" s="1083"/>
      <c r="G434" s="1170" t="s">
        <v>979</v>
      </c>
      <c r="H434" s="1171"/>
      <c r="I434" s="1171"/>
      <c r="J434" s="1171"/>
      <c r="K434" s="1171"/>
      <c r="L434" s="1171"/>
      <c r="M434" s="1171"/>
      <c r="N434" s="1171"/>
      <c r="O434" s="1172"/>
      <c r="P434" s="752"/>
      <c r="Q434" s="2"/>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3">
      <c r="A435" s="2"/>
      <c r="B435" s="1312"/>
      <c r="C435" s="1312"/>
      <c r="D435" s="1312"/>
      <c r="E435" s="1023"/>
      <c r="F435" s="1083"/>
      <c r="G435" s="1170" t="s">
        <v>1861</v>
      </c>
      <c r="H435" s="1171"/>
      <c r="I435" s="1171"/>
      <c r="J435" s="1171"/>
      <c r="K435" s="1171"/>
      <c r="L435" s="1171"/>
      <c r="M435" s="1171"/>
      <c r="N435" s="1171"/>
      <c r="O435" s="1172"/>
      <c r="P435" s="752"/>
      <c r="Q435" s="2"/>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8" customHeight="1" x14ac:dyDescent="0.3">
      <c r="A436" s="2"/>
      <c r="B436" s="1312"/>
      <c r="C436" s="1312"/>
      <c r="D436" s="1312"/>
      <c r="E436" s="1023"/>
      <c r="F436" s="1083"/>
      <c r="G436" s="1222" t="s">
        <v>1598</v>
      </c>
      <c r="H436" s="1223"/>
      <c r="I436" s="1223"/>
      <c r="J436" s="1223"/>
      <c r="K436" s="1223"/>
      <c r="L436" s="1223"/>
      <c r="M436" s="1223"/>
      <c r="N436" s="1223"/>
      <c r="O436" s="1236"/>
      <c r="P436" s="752"/>
      <c r="Q436" s="2"/>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2" customHeight="1" x14ac:dyDescent="0.3">
      <c r="A437" s="2"/>
      <c r="B437" s="792"/>
      <c r="C437" s="792"/>
      <c r="D437" s="792"/>
      <c r="E437" s="792"/>
      <c r="F437" s="792"/>
      <c r="G437" s="792"/>
      <c r="H437" s="792"/>
      <c r="I437" s="792"/>
      <c r="J437" s="792"/>
      <c r="K437" s="792"/>
      <c r="L437" s="792"/>
      <c r="M437" s="792"/>
      <c r="N437" s="792"/>
      <c r="O437" s="792"/>
      <c r="P437" s="2"/>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18" customHeight="1" x14ac:dyDescent="0.3">
      <c r="A438" s="2"/>
      <c r="B438" s="1189" t="s">
        <v>1218</v>
      </c>
      <c r="C438" s="1189"/>
      <c r="D438" s="1189"/>
      <c r="E438" s="1189"/>
      <c r="F438" s="1189"/>
      <c r="G438" s="1189"/>
      <c r="H438" s="1189"/>
      <c r="I438" s="1189"/>
      <c r="J438" s="1189"/>
      <c r="K438" s="1189"/>
      <c r="L438" s="1189"/>
      <c r="M438" s="1189"/>
      <c r="N438" s="1189"/>
      <c r="O438" s="1189"/>
      <c r="P438" s="300"/>
      <c r="Q438" s="2"/>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39" customHeight="1" x14ac:dyDescent="0.3">
      <c r="A439" s="15"/>
      <c r="B439" s="1294" t="s">
        <v>2261</v>
      </c>
      <c r="C439" s="1295"/>
      <c r="D439" s="1295"/>
      <c r="E439" s="1295"/>
      <c r="F439" s="1295"/>
      <c r="G439" s="1295"/>
      <c r="H439" s="1295"/>
      <c r="I439" s="1295"/>
      <c r="J439" s="1295"/>
      <c r="K439" s="1295"/>
      <c r="L439" s="1295"/>
      <c r="M439" s="1296"/>
      <c r="N439" s="1023"/>
      <c r="O439" s="1023"/>
      <c r="P439" s="82">
        <f>IF(R439=1,0.15,0)</f>
        <v>0</v>
      </c>
      <c r="Q439" s="2"/>
      <c r="R439" s="555">
        <v>2</v>
      </c>
      <c r="S439" s="10"/>
      <c r="T439" s="10"/>
      <c r="U439" s="10"/>
      <c r="V439" s="97"/>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9" customHeight="1" x14ac:dyDescent="0.3">
      <c r="A440" s="2"/>
      <c r="B440" s="792"/>
      <c r="C440" s="792"/>
      <c r="D440" s="792"/>
      <c r="E440" s="792"/>
      <c r="F440" s="792"/>
      <c r="G440" s="792"/>
      <c r="H440" s="792"/>
      <c r="I440" s="792"/>
      <c r="J440" s="792"/>
      <c r="K440" s="792"/>
      <c r="L440" s="792"/>
      <c r="M440" s="792"/>
      <c r="N440" s="792"/>
      <c r="O440" s="792"/>
      <c r="P440" s="792"/>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18" customHeight="1" x14ac:dyDescent="0.3">
      <c r="A441" s="2"/>
      <c r="B441" s="927" t="s">
        <v>245</v>
      </c>
      <c r="C441" s="925"/>
      <c r="D441" s="925"/>
      <c r="E441" s="925"/>
      <c r="F441" s="925"/>
      <c r="G441" s="925"/>
      <c r="H441" s="925"/>
      <c r="I441" s="925"/>
      <c r="J441" s="925"/>
      <c r="K441" s="925"/>
      <c r="L441" s="925"/>
      <c r="M441" s="925"/>
      <c r="N441" s="925"/>
      <c r="O441" s="925"/>
      <c r="P441" s="925"/>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40.5" customHeight="1" x14ac:dyDescent="0.3">
      <c r="A442" s="2"/>
      <c r="B442" s="776" t="s">
        <v>586</v>
      </c>
      <c r="C442" s="776"/>
      <c r="D442" s="776"/>
      <c r="E442" s="776"/>
      <c r="F442" s="776"/>
      <c r="G442" s="776"/>
      <c r="H442" s="776"/>
      <c r="I442" s="776"/>
      <c r="J442" s="776"/>
      <c r="K442" s="776"/>
      <c r="L442" s="776"/>
      <c r="M442" s="776"/>
      <c r="N442" s="776"/>
      <c r="O442" s="776"/>
      <c r="P442" s="925"/>
      <c r="Q442" s="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8" customHeight="1" x14ac:dyDescent="0.3">
      <c r="A443" s="15"/>
      <c r="B443" s="971" t="s">
        <v>1241</v>
      </c>
      <c r="C443" s="971"/>
      <c r="D443" s="971"/>
      <c r="E443" s="971"/>
      <c r="F443" s="971"/>
      <c r="G443" s="971"/>
      <c r="H443" s="971"/>
      <c r="I443" s="971"/>
      <c r="J443" s="971"/>
      <c r="K443" s="971"/>
      <c r="L443" s="971"/>
      <c r="M443" s="971"/>
      <c r="N443" s="934"/>
      <c r="O443" s="934"/>
      <c r="P443" s="21">
        <f>IF(R443=1,0.05,0)</f>
        <v>0</v>
      </c>
      <c r="Q443" s="2"/>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2" customHeight="1" x14ac:dyDescent="0.3">
      <c r="A444" s="2"/>
      <c r="B444" s="792"/>
      <c r="C444" s="792"/>
      <c r="D444" s="792"/>
      <c r="E444" s="792"/>
      <c r="F444" s="792"/>
      <c r="G444" s="792"/>
      <c r="H444" s="792"/>
      <c r="I444" s="792"/>
      <c r="J444" s="792"/>
      <c r="K444" s="792"/>
      <c r="L444" s="792"/>
      <c r="M444" s="792"/>
      <c r="N444" s="792"/>
      <c r="O444" s="792"/>
      <c r="P444" s="2"/>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8" customHeight="1" x14ac:dyDescent="0.3">
      <c r="A445" s="2"/>
      <c r="B445" s="925" t="s">
        <v>1242</v>
      </c>
      <c r="C445" s="925"/>
      <c r="D445" s="925"/>
      <c r="E445" s="925"/>
      <c r="F445" s="925"/>
      <c r="G445" s="925"/>
      <c r="H445" s="925"/>
      <c r="I445" s="925"/>
      <c r="J445" s="925"/>
      <c r="K445" s="925"/>
      <c r="L445" s="925"/>
      <c r="M445" s="925"/>
      <c r="N445" s="925"/>
      <c r="O445" s="925"/>
      <c r="P445" s="146"/>
      <c r="Q445" s="2"/>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5" customHeight="1" x14ac:dyDescent="0.3">
      <c r="A446" s="2"/>
      <c r="B446" s="292" t="s">
        <v>1344</v>
      </c>
      <c r="C446" s="1190">
        <f>IF(SUM($E$449:$E$470)&gt;0,P341,0)</f>
        <v>0</v>
      </c>
      <c r="D446" s="1191"/>
      <c r="E446" s="1191"/>
      <c r="F446" s="1189" t="s">
        <v>1164</v>
      </c>
      <c r="G446" s="1189"/>
      <c r="H446" s="1189"/>
      <c r="I446" s="1189"/>
      <c r="J446" s="1189"/>
      <c r="K446" s="1189"/>
      <c r="L446" s="1190">
        <f>LETable!AJ68</f>
        <v>0</v>
      </c>
      <c r="M446" s="1190"/>
      <c r="N446" s="1189" t="s">
        <v>1363</v>
      </c>
      <c r="O446" s="1189"/>
      <c r="P446" s="82">
        <f>L446</f>
        <v>0</v>
      </c>
      <c r="Q446" s="2"/>
      <c r="R446" s="10"/>
      <c r="S446" s="10"/>
      <c r="T446" s="10"/>
      <c r="U446" s="10"/>
      <c r="V446" s="10"/>
      <c r="W446" s="10"/>
      <c r="X446" s="10"/>
      <c r="Y446" s="940" t="s">
        <v>1004</v>
      </c>
      <c r="Z446" s="942"/>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12" customHeight="1" x14ac:dyDescent="0.3">
      <c r="A447" s="2"/>
      <c r="B447" s="792"/>
      <c r="C447" s="792"/>
      <c r="D447" s="792"/>
      <c r="E447" s="792"/>
      <c r="F447" s="792"/>
      <c r="G447" s="792"/>
      <c r="H447" s="792"/>
      <c r="I447" s="792"/>
      <c r="J447" s="792"/>
      <c r="K447" s="792"/>
      <c r="L447" s="792"/>
      <c r="M447" s="792"/>
      <c r="N447" s="792"/>
      <c r="O447" s="792"/>
      <c r="P447" s="2"/>
      <c r="Q447" s="2"/>
      <c r="R447" s="10"/>
      <c r="S447" s="10"/>
      <c r="T447" s="10"/>
      <c r="U447" s="10"/>
      <c r="V447" s="10"/>
      <c r="W447" s="10"/>
      <c r="X447" s="10"/>
      <c r="Y447" s="18">
        <f>Y449+Y448</f>
        <v>0</v>
      </c>
      <c r="Z447" s="50" t="s">
        <v>303</v>
      </c>
      <c r="AA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27.75" customHeight="1" x14ac:dyDescent="0.3">
      <c r="A448" s="2"/>
      <c r="B448" s="879" t="s">
        <v>246</v>
      </c>
      <c r="C448" s="880"/>
      <c r="D448" s="880"/>
      <c r="E448" s="880"/>
      <c r="F448" s="881"/>
      <c r="G448" s="922" t="s">
        <v>1524</v>
      </c>
      <c r="H448" s="941"/>
      <c r="I448" s="941"/>
      <c r="J448" s="941"/>
      <c r="K448" s="942"/>
      <c r="L448" s="940"/>
      <c r="M448" s="941"/>
      <c r="N448" s="941"/>
      <c r="O448" s="942"/>
      <c r="P448" s="872">
        <f>V470</f>
        <v>0</v>
      </c>
      <c r="Q448" s="2"/>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3">
      <c r="A449" s="2"/>
      <c r="B449" s="757" t="s">
        <v>1525</v>
      </c>
      <c r="C449" s="758"/>
      <c r="D449" s="759"/>
      <c r="E449" s="742">
        <f>P373</f>
        <v>0</v>
      </c>
      <c r="F449" s="744"/>
      <c r="G449" s="940" t="s">
        <v>1941</v>
      </c>
      <c r="H449" s="941"/>
      <c r="I449" s="942"/>
      <c r="J449" s="1141"/>
      <c r="K449" s="1141"/>
      <c r="M449" s="643"/>
      <c r="N449" s="643"/>
      <c r="O449" s="644"/>
      <c r="P449" s="1091"/>
      <c r="Q449" s="2"/>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3">
      <c r="A450" s="2"/>
      <c r="B450" s="757" t="s">
        <v>1526</v>
      </c>
      <c r="C450" s="758"/>
      <c r="D450" s="759"/>
      <c r="E450" s="742">
        <f>IF(P427&gt;0,0,P381)</f>
        <v>0</v>
      </c>
      <c r="F450" s="744"/>
      <c r="G450" s="935"/>
      <c r="H450" s="935"/>
      <c r="I450" s="935"/>
      <c r="J450" s="1188">
        <f>IF(AND(Y450&lt;0.01,Y450&gt;0),0.01,ROUND(Y450,2))</f>
        <v>0</v>
      </c>
      <c r="K450" s="1193"/>
      <c r="L450" s="1006" t="str">
        <f>IF(AND(Y449=1,G450&gt;0),"Ankylosis cannot be apportioned.","")</f>
        <v/>
      </c>
      <c r="M450" s="1007"/>
      <c r="N450" s="1007"/>
      <c r="O450" s="1008"/>
      <c r="P450" s="1091"/>
      <c r="Q450" s="2"/>
      <c r="R450" s="10"/>
      <c r="S450" s="147">
        <f>IF(J450&gt;0,J450,E450)</f>
        <v>0</v>
      </c>
      <c r="T450" s="147">
        <f>LARGE($S$449:$S$471,2)</f>
        <v>0</v>
      </c>
      <c r="U450" s="553">
        <f>V449+T451*(1-V449)</f>
        <v>0</v>
      </c>
      <c r="V450" s="617">
        <f t="shared" si="64"/>
        <v>0</v>
      </c>
      <c r="W450" s="595" t="s">
        <v>1895</v>
      </c>
      <c r="X450" s="10"/>
      <c r="Y450" s="21">
        <f>IF(Y449=1,0,G450*E450)</f>
        <v>0</v>
      </c>
      <c r="Z450" s="10"/>
      <c r="AA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3">
      <c r="A451" s="2"/>
      <c r="B451" s="757" t="s">
        <v>1527</v>
      </c>
      <c r="C451" s="758"/>
      <c r="D451" s="759"/>
      <c r="E451" s="742">
        <f>IF(P427&gt;0,0,P388)</f>
        <v>0</v>
      </c>
      <c r="F451" s="744"/>
      <c r="G451" s="935"/>
      <c r="H451" s="935"/>
      <c r="I451" s="935"/>
      <c r="J451" s="1188">
        <f>IF(AND(Y451&lt;0.01,Y451&gt;0),0.01,ROUND(Y451,2))</f>
        <v>0</v>
      </c>
      <c r="K451" s="1193"/>
      <c r="L451" s="633"/>
      <c r="M451" s="634"/>
      <c r="N451" s="634"/>
      <c r="O451" s="635"/>
      <c r="P451" s="1091"/>
      <c r="Q451" s="2"/>
      <c r="R451" s="10"/>
      <c r="S451" s="147">
        <f>IF(J451&gt;0,J451,E451)</f>
        <v>0</v>
      </c>
      <c r="T451" s="147">
        <f>LARGE($S$449:$S$471,3)</f>
        <v>0</v>
      </c>
      <c r="U451" s="553">
        <f>V450+T452*(1-V450)</f>
        <v>0</v>
      </c>
      <c r="V451" s="617">
        <f t="shared" si="64"/>
        <v>0</v>
      </c>
      <c r="W451" s="386">
        <f>IF(P439&gt;0,3,0)</f>
        <v>0</v>
      </c>
      <c r="X451" s="10"/>
      <c r="Y451" s="21">
        <f>G451*E451</f>
        <v>0</v>
      </c>
      <c r="Z451" s="10"/>
      <c r="AA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3">
      <c r="A452" s="2"/>
      <c r="B452" s="757" t="s">
        <v>1528</v>
      </c>
      <c r="C452" s="758"/>
      <c r="D452" s="759"/>
      <c r="E452" s="742">
        <f>P392</f>
        <v>0</v>
      </c>
      <c r="F452" s="744"/>
      <c r="G452" s="940" t="s">
        <v>1941</v>
      </c>
      <c r="H452" s="941"/>
      <c r="I452" s="942"/>
      <c r="J452" s="1141"/>
      <c r="K452" s="1192"/>
      <c r="L452" s="633"/>
      <c r="M452" s="634"/>
      <c r="N452" s="634"/>
      <c r="O452" s="635"/>
      <c r="P452" s="1091"/>
      <c r="Q452" s="2"/>
      <c r="R452" s="10"/>
      <c r="S452" s="557">
        <f>E452</f>
        <v>0</v>
      </c>
      <c r="T452" s="147">
        <f>LARGE($S$449:$S$471,4)</f>
        <v>0</v>
      </c>
      <c r="U452" s="553">
        <f>V451+T453*(1-V451)</f>
        <v>0</v>
      </c>
      <c r="V452" s="617">
        <f t="shared" si="64"/>
        <v>0</v>
      </c>
      <c r="W452" s="595" t="s">
        <v>1898</v>
      </c>
      <c r="X452" s="10"/>
      <c r="Y452" s="199"/>
      <c r="Z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3">
      <c r="A453" s="2"/>
      <c r="B453" s="1314" t="s">
        <v>1529</v>
      </c>
      <c r="C453" s="1315"/>
      <c r="D453" s="1316"/>
      <c r="E453" s="742">
        <f>P401</f>
        <v>0</v>
      </c>
      <c r="F453" s="744"/>
      <c r="G453" s="935"/>
      <c r="H453" s="935"/>
      <c r="I453" s="935"/>
      <c r="J453" s="1188">
        <f>IF(AND(Y453&lt;0.01,Y453&gt;0),0.01,ROUND(Y453,2))</f>
        <v>0</v>
      </c>
      <c r="K453" s="1193"/>
      <c r="L453" s="1006"/>
      <c r="M453" s="1007"/>
      <c r="N453" s="1007"/>
      <c r="O453" s="1008"/>
      <c r="P453" s="1091"/>
      <c r="Q453" s="2"/>
      <c r="R453" s="10"/>
      <c r="S453" s="147">
        <f>IF(J453&gt;0,J453,E453)</f>
        <v>0</v>
      </c>
      <c r="T453" s="147">
        <f>LARGE($S$449:$S$471,5)</f>
        <v>0</v>
      </c>
      <c r="U453" s="553">
        <f>V452+T454*(1-V452)</f>
        <v>0</v>
      </c>
      <c r="V453" s="617">
        <f t="shared" si="64"/>
        <v>0</v>
      </c>
      <c r="W453" s="386">
        <f>IF(P338&gt;0,5,0)</f>
        <v>0</v>
      </c>
      <c r="X453" s="10"/>
      <c r="Y453" s="21">
        <f>G453*E453</f>
        <v>0</v>
      </c>
      <c r="Z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15" customHeight="1" x14ac:dyDescent="0.3">
      <c r="A454" s="2"/>
      <c r="B454" s="1314" t="s">
        <v>1530</v>
      </c>
      <c r="C454" s="1315"/>
      <c r="D454" s="1316"/>
      <c r="E454" s="742">
        <f>P404</f>
        <v>0</v>
      </c>
      <c r="F454" s="744"/>
      <c r="G454" s="940" t="s">
        <v>1941</v>
      </c>
      <c r="H454" s="941"/>
      <c r="I454" s="942"/>
      <c r="J454" s="1141"/>
      <c r="K454" s="1192"/>
      <c r="L454" s="1006"/>
      <c r="M454" s="1007"/>
      <c r="N454" s="1007"/>
      <c r="O454" s="1008"/>
      <c r="P454" s="1091"/>
      <c r="Q454" s="2"/>
      <c r="R454" s="10"/>
      <c r="S454" s="557">
        <f t="shared" ref="S454:S463" si="65">E454</f>
        <v>0</v>
      </c>
      <c r="T454" s="147">
        <f>LARGE($S$449:$S$471,6)</f>
        <v>0</v>
      </c>
      <c r="U454" s="553">
        <f t="shared" ref="U454:U470" si="66">V453+T455*(1-V453)</f>
        <v>0</v>
      </c>
      <c r="V454" s="617">
        <f t="shared" si="64"/>
        <v>0</v>
      </c>
      <c r="W454" s="595" t="s">
        <v>596</v>
      </c>
      <c r="X454" s="10"/>
      <c r="Y454" s="22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27" customHeight="1" x14ac:dyDescent="0.3">
      <c r="A455" s="2"/>
      <c r="B455" s="1294" t="s">
        <v>1531</v>
      </c>
      <c r="C455" s="1295"/>
      <c r="D455" s="1296"/>
      <c r="E455" s="742">
        <f>P407</f>
        <v>0</v>
      </c>
      <c r="F455" s="744"/>
      <c r="G455" s="940" t="s">
        <v>1941</v>
      </c>
      <c r="H455" s="941"/>
      <c r="I455" s="942"/>
      <c r="J455" s="1141"/>
      <c r="K455" s="1192"/>
      <c r="L455" s="1006"/>
      <c r="M455" s="1007"/>
      <c r="N455" s="1007"/>
      <c r="O455" s="1008"/>
      <c r="P455" s="1091"/>
      <c r="Q455" s="2"/>
      <c r="R455" s="10"/>
      <c r="S455" s="557">
        <f t="shared" si="65"/>
        <v>0</v>
      </c>
      <c r="T455" s="147">
        <f>LARGE($S$449:$S$471,7)</f>
        <v>0</v>
      </c>
      <c r="U455" s="553">
        <f t="shared" si="66"/>
        <v>0</v>
      </c>
      <c r="V455" s="617">
        <f t="shared" si="64"/>
        <v>0</v>
      </c>
      <c r="W455" s="386">
        <f>IF(P443&gt;0,1,0)</f>
        <v>0</v>
      </c>
      <c r="X455" s="10"/>
      <c r="Y455" s="220"/>
      <c r="Z455" s="10"/>
      <c r="AA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3">
      <c r="A456" s="2"/>
      <c r="B456" s="1314" t="str">
        <f>IF(P412&gt;0,"Surgery: Partial loss of one menisus","Surgery: Menisci")</f>
        <v>Surgery: Menisci</v>
      </c>
      <c r="C456" s="1315"/>
      <c r="D456" s="1316"/>
      <c r="E456" s="742">
        <f>P411</f>
        <v>0</v>
      </c>
      <c r="F456" s="744"/>
      <c r="G456" s="940" t="s">
        <v>1941</v>
      </c>
      <c r="H456" s="941"/>
      <c r="I456" s="942"/>
      <c r="J456" s="1141"/>
      <c r="K456" s="1192"/>
      <c r="L456" s="1006"/>
      <c r="M456" s="1007"/>
      <c r="N456" s="1007"/>
      <c r="O456" s="1008"/>
      <c r="P456" s="1091"/>
      <c r="Q456" s="2"/>
      <c r="R456" s="10"/>
      <c r="S456" s="557">
        <f t="shared" si="65"/>
        <v>0</v>
      </c>
      <c r="T456" s="147">
        <f>LARGE($S$449:$S$471,8)</f>
        <v>0</v>
      </c>
      <c r="U456" s="553">
        <f t="shared" si="66"/>
        <v>0</v>
      </c>
      <c r="V456" s="617">
        <f t="shared" si="64"/>
        <v>0</v>
      </c>
      <c r="W456" s="595" t="s">
        <v>2239</v>
      </c>
      <c r="X456" s="10"/>
      <c r="Y456" s="22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3">
      <c r="A457" s="2"/>
      <c r="B457" s="1314" t="str">
        <f>IF(P412&gt;0,"Surgery: Partial loss of 2nd meniscus","")</f>
        <v/>
      </c>
      <c r="C457" s="1315"/>
      <c r="D457" s="1316"/>
      <c r="E457" s="742">
        <f>P412</f>
        <v>0</v>
      </c>
      <c r="F457" s="744"/>
      <c r="G457" s="940" t="s">
        <v>1941</v>
      </c>
      <c r="H457" s="941"/>
      <c r="I457" s="942"/>
      <c r="J457" s="1192"/>
      <c r="K457" s="1194"/>
      <c r="L457" s="1006"/>
      <c r="M457" s="1007"/>
      <c r="N457" s="1007"/>
      <c r="O457" s="1008"/>
      <c r="P457" s="1091"/>
      <c r="Q457" s="2"/>
      <c r="R457" s="10"/>
      <c r="S457" s="557">
        <f t="shared" si="65"/>
        <v>0</v>
      </c>
      <c r="T457" s="147">
        <f>LARGE($S$449:$S$471,9)</f>
        <v>0</v>
      </c>
      <c r="U457" s="553">
        <f t="shared" si="66"/>
        <v>0</v>
      </c>
      <c r="V457" s="617">
        <f t="shared" si="64"/>
        <v>0</v>
      </c>
      <c r="W457" s="386">
        <f>SUM(W449,W451,W453,W455)</f>
        <v>0</v>
      </c>
      <c r="X457" s="10"/>
      <c r="Y457" s="220"/>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3">
      <c r="A458" s="2"/>
      <c r="B458" s="757" t="s">
        <v>1915</v>
      </c>
      <c r="C458" s="758"/>
      <c r="D458" s="759"/>
      <c r="E458" s="742">
        <f t="shared" ref="E458:E463" si="67">P413</f>
        <v>0</v>
      </c>
      <c r="F458" s="744"/>
      <c r="G458" s="940" t="s">
        <v>1941</v>
      </c>
      <c r="H458" s="941"/>
      <c r="I458" s="942"/>
      <c r="J458" s="1141"/>
      <c r="K458" s="1192"/>
      <c r="L458" s="1006"/>
      <c r="M458" s="1007"/>
      <c r="N458" s="1007"/>
      <c r="O458" s="1008"/>
      <c r="P458" s="1091"/>
      <c r="Q458" s="2"/>
      <c r="R458" s="10"/>
      <c r="S458" s="557">
        <f t="shared" si="65"/>
        <v>0</v>
      </c>
      <c r="T458" s="147">
        <f>LARGE($S$449:$S$471,10)</f>
        <v>0</v>
      </c>
      <c r="U458" s="553">
        <f t="shared" si="66"/>
        <v>0</v>
      </c>
      <c r="V458" s="617">
        <f t="shared" si="64"/>
        <v>0</v>
      </c>
      <c r="W458" s="1156" t="s">
        <v>987</v>
      </c>
      <c r="X458" s="10"/>
      <c r="Y458" s="220"/>
      <c r="Z458" s="2"/>
      <c r="AA458" s="2"/>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3">
      <c r="A459" s="2"/>
      <c r="B459" s="757" t="s">
        <v>1916</v>
      </c>
      <c r="C459" s="758"/>
      <c r="D459" s="759"/>
      <c r="E459" s="742">
        <f t="shared" si="67"/>
        <v>0</v>
      </c>
      <c r="F459" s="744"/>
      <c r="G459" s="940" t="s">
        <v>1941</v>
      </c>
      <c r="H459" s="941"/>
      <c r="I459" s="942"/>
      <c r="J459" s="1141"/>
      <c r="K459" s="1192"/>
      <c r="L459" s="1006"/>
      <c r="M459" s="1007"/>
      <c r="N459" s="1007"/>
      <c r="O459" s="1008"/>
      <c r="P459" s="1091"/>
      <c r="Q459" s="2"/>
      <c r="R459" s="10"/>
      <c r="S459" s="557">
        <f t="shared" si="65"/>
        <v>0</v>
      </c>
      <c r="T459" s="147">
        <f>LARGE($S$449:$S$471,11)</f>
        <v>0</v>
      </c>
      <c r="U459" s="553">
        <f t="shared" si="66"/>
        <v>0</v>
      </c>
      <c r="V459" s="617">
        <f t="shared" si="64"/>
        <v>0</v>
      </c>
      <c r="W459" s="1178"/>
      <c r="X459" s="10"/>
      <c r="Y459" s="220"/>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3">
      <c r="A460" s="2"/>
      <c r="B460" s="757" t="s">
        <v>1917</v>
      </c>
      <c r="C460" s="758"/>
      <c r="D460" s="759"/>
      <c r="E460" s="742">
        <f t="shared" si="67"/>
        <v>0</v>
      </c>
      <c r="F460" s="744"/>
      <c r="G460" s="940" t="s">
        <v>1941</v>
      </c>
      <c r="H460" s="941"/>
      <c r="I460" s="942"/>
      <c r="J460" s="1141"/>
      <c r="K460" s="1192"/>
      <c r="L460" s="1006"/>
      <c r="M460" s="1007"/>
      <c r="N460" s="1007"/>
      <c r="O460" s="1008"/>
      <c r="P460" s="1091"/>
      <c r="Q460" s="2"/>
      <c r="R460" s="10"/>
      <c r="S460" s="557">
        <f t="shared" si="65"/>
        <v>0</v>
      </c>
      <c r="T460" s="147">
        <f>LARGE($S$449:$S$471,12)</f>
        <v>0</v>
      </c>
      <c r="U460" s="553">
        <f t="shared" si="66"/>
        <v>0</v>
      </c>
      <c r="V460" s="617">
        <f t="shared" si="64"/>
        <v>0</v>
      </c>
      <c r="W460" s="1178"/>
      <c r="X460" s="10"/>
      <c r="Y460" s="220"/>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15" customHeight="1" x14ac:dyDescent="0.3">
      <c r="A461" s="2"/>
      <c r="B461" s="757" t="s">
        <v>711</v>
      </c>
      <c r="C461" s="758"/>
      <c r="D461" s="759"/>
      <c r="E461" s="742">
        <f t="shared" si="67"/>
        <v>0</v>
      </c>
      <c r="F461" s="744"/>
      <c r="G461" s="940" t="s">
        <v>1941</v>
      </c>
      <c r="H461" s="941"/>
      <c r="I461" s="942"/>
      <c r="J461" s="1141"/>
      <c r="K461" s="1192"/>
      <c r="L461" s="1006"/>
      <c r="M461" s="1007"/>
      <c r="N461" s="1007"/>
      <c r="O461" s="1008"/>
      <c r="P461" s="1091"/>
      <c r="Q461" s="2"/>
      <c r="R461" s="10"/>
      <c r="S461" s="557">
        <f t="shared" si="65"/>
        <v>0</v>
      </c>
      <c r="T461" s="147">
        <f>LARGE($S$449:$S$471,13)</f>
        <v>0</v>
      </c>
      <c r="U461" s="553">
        <f t="shared" si="66"/>
        <v>0</v>
      </c>
      <c r="V461" s="617">
        <f t="shared" si="64"/>
        <v>0</v>
      </c>
      <c r="W461" s="196">
        <f>SUM(AB377,E449,E452,E454:E463)</f>
        <v>0</v>
      </c>
      <c r="X461" s="10"/>
      <c r="Y461" s="220"/>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27" customHeight="1" x14ac:dyDescent="0.3">
      <c r="A462" s="2"/>
      <c r="B462" s="771" t="s">
        <v>1859</v>
      </c>
      <c r="C462" s="772"/>
      <c r="D462" s="773"/>
      <c r="E462" s="742">
        <f t="shared" si="67"/>
        <v>0</v>
      </c>
      <c r="F462" s="744"/>
      <c r="G462" s="940" t="s">
        <v>1941</v>
      </c>
      <c r="H462" s="941"/>
      <c r="I462" s="942"/>
      <c r="J462" s="1141"/>
      <c r="K462" s="1192"/>
      <c r="L462" s="1006"/>
      <c r="M462" s="1007"/>
      <c r="N462" s="1007"/>
      <c r="O462" s="1008"/>
      <c r="P462" s="1091"/>
      <c r="Q462" s="2"/>
      <c r="R462" s="10"/>
      <c r="S462" s="557">
        <f t="shared" si="65"/>
        <v>0</v>
      </c>
      <c r="T462" s="147">
        <f>LARGE($S$449:$S$471,14)</f>
        <v>0</v>
      </c>
      <c r="U462" s="553">
        <f t="shared" si="66"/>
        <v>0</v>
      </c>
      <c r="V462" s="557">
        <f t="shared" si="64"/>
        <v>0</v>
      </c>
      <c r="W462" s="10"/>
      <c r="X462" s="10"/>
      <c r="Y462" s="220"/>
      <c r="Z462" s="2"/>
      <c r="AA462" s="2"/>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3">
      <c r="A463" s="2"/>
      <c r="B463" s="757" t="s">
        <v>1860</v>
      </c>
      <c r="C463" s="758"/>
      <c r="D463" s="759"/>
      <c r="E463" s="742">
        <f t="shared" si="67"/>
        <v>0</v>
      </c>
      <c r="F463" s="744"/>
      <c r="G463" s="940" t="s">
        <v>1941</v>
      </c>
      <c r="H463" s="941"/>
      <c r="I463" s="942"/>
      <c r="J463" s="1141"/>
      <c r="K463" s="1141"/>
      <c r="L463" s="633"/>
      <c r="M463" s="634"/>
      <c r="N463" s="634"/>
      <c r="O463" s="635"/>
      <c r="P463" s="1010"/>
      <c r="Q463" s="2"/>
      <c r="R463" s="10"/>
      <c r="S463" s="557">
        <f t="shared" si="65"/>
        <v>0</v>
      </c>
      <c r="T463" s="147">
        <f>LARGE($S$449:$S$471,15)</f>
        <v>0</v>
      </c>
      <c r="U463" s="553">
        <f t="shared" si="66"/>
        <v>0</v>
      </c>
      <c r="V463" s="557">
        <f t="shared" si="64"/>
        <v>0</v>
      </c>
      <c r="W463" s="10"/>
      <c r="X463" s="10"/>
      <c r="Y463" s="220"/>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3">
      <c r="A464" s="2"/>
      <c r="B464" s="757" t="s">
        <v>1446</v>
      </c>
      <c r="C464" s="758"/>
      <c r="D464" s="759"/>
      <c r="E464" s="742">
        <f>P420</f>
        <v>0</v>
      </c>
      <c r="F464" s="744"/>
      <c r="G464" s="935"/>
      <c r="H464" s="935"/>
      <c r="I464" s="935"/>
      <c r="J464" s="1188">
        <f t="shared" ref="J464:J470" si="68">IF(AND(Y464&lt;0.01,Y464&gt;0),0.01,ROUND(Y464,2))</f>
        <v>0</v>
      </c>
      <c r="K464" s="1188"/>
      <c r="L464" s="633"/>
      <c r="M464" s="634"/>
      <c r="N464" s="634"/>
      <c r="O464" s="635"/>
      <c r="P464" s="1010"/>
      <c r="Q464" s="2"/>
      <c r="R464" s="10"/>
      <c r="S464" s="147">
        <f>IF(J464&gt;0,J464,E464)</f>
        <v>0</v>
      </c>
      <c r="T464" s="147">
        <f>LARGE($S$449:$S$471,16)</f>
        <v>0</v>
      </c>
      <c r="U464" s="553">
        <f t="shared" si="66"/>
        <v>0</v>
      </c>
      <c r="V464" s="557">
        <f t="shared" si="64"/>
        <v>0</v>
      </c>
      <c r="W464" s="10"/>
      <c r="X464" s="10"/>
      <c r="Y464" s="21">
        <f t="shared" ref="Y464:Y470" si="69">G464*E464</f>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3">
      <c r="A465" s="2"/>
      <c r="B465" s="757" t="s">
        <v>925</v>
      </c>
      <c r="C465" s="758"/>
      <c r="D465" s="759"/>
      <c r="E465" s="742">
        <f>P421</f>
        <v>0</v>
      </c>
      <c r="F465" s="744"/>
      <c r="G465" s="935"/>
      <c r="H465" s="935"/>
      <c r="I465" s="935"/>
      <c r="J465" s="1188">
        <f t="shared" si="68"/>
        <v>0</v>
      </c>
      <c r="K465" s="1188"/>
      <c r="L465" s="633"/>
      <c r="M465" s="634"/>
      <c r="N465" s="634"/>
      <c r="O465" s="635"/>
      <c r="P465" s="1010"/>
      <c r="Q465" s="2"/>
      <c r="R465" s="10"/>
      <c r="S465" s="147">
        <f>IF(J465&gt;0,J465,E465)</f>
        <v>0</v>
      </c>
      <c r="T465" s="147">
        <f>LARGE($S$449:$S$471,17)</f>
        <v>0</v>
      </c>
      <c r="U465" s="553">
        <f t="shared" si="66"/>
        <v>0</v>
      </c>
      <c r="V465" s="557">
        <f t="shared" si="64"/>
        <v>0</v>
      </c>
      <c r="W465" s="10"/>
      <c r="X465" s="10"/>
      <c r="Y465" s="21">
        <f t="shared" si="69"/>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3">
      <c r="A466" s="2"/>
      <c r="B466" s="757" t="s">
        <v>926</v>
      </c>
      <c r="C466" s="758"/>
      <c r="D466" s="759"/>
      <c r="E466" s="742">
        <f>P427</f>
        <v>0</v>
      </c>
      <c r="F466" s="744"/>
      <c r="G466" s="935"/>
      <c r="H466" s="935"/>
      <c r="I466" s="935"/>
      <c r="J466" s="1188">
        <f t="shared" si="68"/>
        <v>0</v>
      </c>
      <c r="K466" s="1188"/>
      <c r="L466" s="1006" t="str">
        <f>IF(AND(P427&gt;0,W457&gt;0),"The worker has motor loss impairment. Additional impairment values are not allowed for chronic condition, a walking/standing limitation, reduced range of motion, or strength loss.","")</f>
        <v/>
      </c>
      <c r="M466" s="1007"/>
      <c r="N466" s="1007"/>
      <c r="O466" s="1008"/>
      <c r="P466" s="1010"/>
      <c r="Q466" s="2"/>
      <c r="R466" s="10"/>
      <c r="S466" s="147">
        <f t="shared" ref="S466:S471" si="70">IF(J466&gt;0,J466,E466)</f>
        <v>0</v>
      </c>
      <c r="T466" s="147">
        <f>LARGE($S$449:$S$471,18)</f>
        <v>0</v>
      </c>
      <c r="U466" s="553">
        <f t="shared" si="66"/>
        <v>0</v>
      </c>
      <c r="V466" s="557">
        <f t="shared" si="64"/>
        <v>0</v>
      </c>
      <c r="W466" s="10"/>
      <c r="X466" s="10"/>
      <c r="Y466" s="21">
        <f t="shared" si="69"/>
        <v>0</v>
      </c>
      <c r="Z466" s="10"/>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3">
      <c r="A467" s="2"/>
      <c r="B467" s="757" t="s">
        <v>1448</v>
      </c>
      <c r="C467" s="758"/>
      <c r="D467" s="759"/>
      <c r="E467" s="742">
        <f>P430</f>
        <v>0</v>
      </c>
      <c r="F467" s="744"/>
      <c r="G467" s="935"/>
      <c r="H467" s="935"/>
      <c r="I467" s="935"/>
      <c r="J467" s="1188">
        <f t="shared" si="68"/>
        <v>0</v>
      </c>
      <c r="K467" s="1188"/>
      <c r="L467" s="1006"/>
      <c r="M467" s="1007"/>
      <c r="N467" s="1007"/>
      <c r="O467" s="1008"/>
      <c r="P467" s="1010"/>
      <c r="Q467" s="2"/>
      <c r="R467" s="10"/>
      <c r="S467" s="147">
        <f t="shared" si="70"/>
        <v>0</v>
      </c>
      <c r="T467" s="147">
        <f>LARGE($S$449:$S$471,19)</f>
        <v>0</v>
      </c>
      <c r="U467" s="553">
        <f t="shared" si="66"/>
        <v>0</v>
      </c>
      <c r="V467" s="557">
        <f t="shared" si="64"/>
        <v>0</v>
      </c>
      <c r="Y467" s="21">
        <f t="shared" si="69"/>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3">
      <c r="A468" s="2"/>
      <c r="B468" s="757" t="s">
        <v>1449</v>
      </c>
      <c r="C468" s="758"/>
      <c r="D468" s="759"/>
      <c r="E468" s="742">
        <f>IF(P427&gt;0,0,P439)</f>
        <v>0</v>
      </c>
      <c r="F468" s="744"/>
      <c r="G468" s="935"/>
      <c r="H468" s="935"/>
      <c r="I468" s="935"/>
      <c r="J468" s="1188">
        <f t="shared" si="68"/>
        <v>0</v>
      </c>
      <c r="K468" s="1188"/>
      <c r="L468" s="1006"/>
      <c r="M468" s="1007"/>
      <c r="N468" s="1007"/>
      <c r="O468" s="1008"/>
      <c r="P468" s="1010"/>
      <c r="Q468" s="2"/>
      <c r="R468" s="10"/>
      <c r="S468" s="147">
        <f t="shared" si="70"/>
        <v>0</v>
      </c>
      <c r="T468" s="147">
        <f>LARGE($S$449:$S$471,20)</f>
        <v>0</v>
      </c>
      <c r="U468" s="553">
        <f t="shared" si="66"/>
        <v>0</v>
      </c>
      <c r="V468" s="557">
        <f t="shared" si="64"/>
        <v>0</v>
      </c>
      <c r="W468" s="10"/>
      <c r="X468" s="10"/>
      <c r="Y468" s="21">
        <f t="shared" si="69"/>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3">
      <c r="A469" s="2"/>
      <c r="B469" s="757" t="s">
        <v>596</v>
      </c>
      <c r="C469" s="758"/>
      <c r="D469" s="759"/>
      <c r="E469" s="742">
        <f>IF(P427&gt;0,0,P443)</f>
        <v>0</v>
      </c>
      <c r="F469" s="744"/>
      <c r="G469" s="935"/>
      <c r="H469" s="935"/>
      <c r="I469" s="935"/>
      <c r="J469" s="1188">
        <f t="shared" si="68"/>
        <v>0</v>
      </c>
      <c r="K469" s="1188"/>
      <c r="L469" s="1006"/>
      <c r="M469" s="1007"/>
      <c r="N469" s="1007"/>
      <c r="O469" s="1008"/>
      <c r="P469" s="1010"/>
      <c r="Q469" s="2"/>
      <c r="R469" s="10"/>
      <c r="S469" s="147">
        <f t="shared" si="70"/>
        <v>0</v>
      </c>
      <c r="T469" s="147">
        <f>LARGE($S$449:$S$471,21)</f>
        <v>0</v>
      </c>
      <c r="U469" s="553">
        <f t="shared" si="66"/>
        <v>0</v>
      </c>
      <c r="V469" s="557">
        <f t="shared" si="64"/>
        <v>0</v>
      </c>
      <c r="Y469" s="21">
        <f t="shared" si="69"/>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3">
      <c r="A470" s="2"/>
      <c r="B470" s="757" t="s">
        <v>1638</v>
      </c>
      <c r="C470" s="758"/>
      <c r="D470" s="759"/>
      <c r="E470" s="742">
        <f>IF(P427&gt;0,0,P338)</f>
        <v>0</v>
      </c>
      <c r="F470" s="744"/>
      <c r="G470" s="935"/>
      <c r="H470" s="935"/>
      <c r="I470" s="935"/>
      <c r="J470" s="1188">
        <f t="shared" si="68"/>
        <v>0</v>
      </c>
      <c r="K470" s="1188"/>
      <c r="L470" s="1006"/>
      <c r="M470" s="1007"/>
      <c r="N470" s="1007"/>
      <c r="O470" s="1008"/>
      <c r="P470" s="1010"/>
      <c r="Q470" s="2"/>
      <c r="R470" s="10"/>
      <c r="S470" s="147">
        <f t="shared" si="70"/>
        <v>0</v>
      </c>
      <c r="T470" s="147">
        <f>LARGE($S$449:$S$471,22)</f>
        <v>0</v>
      </c>
      <c r="U470" s="553">
        <f t="shared" si="66"/>
        <v>0</v>
      </c>
      <c r="V470" s="557">
        <f t="shared" si="64"/>
        <v>0</v>
      </c>
      <c r="W470" s="10"/>
      <c r="X470" s="10"/>
      <c r="Y470" s="21">
        <f t="shared" si="69"/>
        <v>0</v>
      </c>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3">
      <c r="A471" s="2"/>
      <c r="B471" s="797" t="s">
        <v>927</v>
      </c>
      <c r="C471" s="798"/>
      <c r="D471" s="799"/>
      <c r="E471" s="1079">
        <f>P446</f>
        <v>0</v>
      </c>
      <c r="F471" s="1187"/>
      <c r="G471" s="940" t="s">
        <v>1941</v>
      </c>
      <c r="H471" s="941"/>
      <c r="I471" s="942"/>
      <c r="J471" s="1141"/>
      <c r="K471" s="1141"/>
      <c r="L471" s="1112"/>
      <c r="M471" s="1113"/>
      <c r="N471" s="1113"/>
      <c r="O471" s="1114"/>
      <c r="P471" s="1010"/>
      <c r="Q471" s="2"/>
      <c r="R471" s="10"/>
      <c r="S471" s="147">
        <f t="shared" si="70"/>
        <v>0</v>
      </c>
      <c r="T471" s="147">
        <f>LARGE($S$449:$S$471,23)</f>
        <v>0</v>
      </c>
      <c r="U471" s="96"/>
      <c r="V471" s="129"/>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3">
      <c r="A472" s="2"/>
      <c r="B472" s="959" t="s">
        <v>247</v>
      </c>
      <c r="C472" s="959"/>
      <c r="D472" s="959"/>
      <c r="E472" s="959"/>
      <c r="F472" s="959"/>
      <c r="G472" s="959"/>
      <c r="H472" s="959"/>
      <c r="I472" s="959"/>
      <c r="J472" s="959"/>
      <c r="K472" s="959"/>
      <c r="L472" s="959"/>
      <c r="M472" s="959"/>
      <c r="N472" s="959"/>
      <c r="O472" s="959"/>
      <c r="P472" s="996"/>
      <c r="Q472" s="2"/>
      <c r="R472" s="10"/>
      <c r="T472" s="10"/>
      <c r="U472" s="10"/>
      <c r="V472" s="10"/>
      <c r="W472" s="10"/>
      <c r="X472" s="10"/>
      <c r="Y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ht="15" customHeight="1" x14ac:dyDescent="0.3">
      <c r="A473" s="2"/>
      <c r="B473" s="792"/>
      <c r="C473" s="792"/>
      <c r="D473" s="792"/>
      <c r="E473" s="792"/>
      <c r="F473" s="792"/>
      <c r="G473" s="792"/>
      <c r="H473" s="792"/>
      <c r="I473" s="792"/>
      <c r="J473" s="792"/>
      <c r="K473" s="792"/>
      <c r="L473" s="792"/>
      <c r="M473" s="792"/>
      <c r="N473" s="792"/>
      <c r="O473" s="792"/>
      <c r="P473" s="792"/>
      <c r="Q473" s="2"/>
      <c r="R473" s="10"/>
      <c r="S473" s="10"/>
      <c r="T473" s="10"/>
      <c r="U473" s="10"/>
      <c r="V473" s="10"/>
      <c r="W473" s="10"/>
      <c r="X473" s="10"/>
      <c r="Y473" s="10"/>
      <c r="Z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x14ac:dyDescent="0.3">
      <c r="A474" s="2"/>
      <c r="B474" s="792"/>
      <c r="C474" s="792"/>
      <c r="D474" s="792"/>
      <c r="E474" s="792"/>
      <c r="F474" s="792"/>
      <c r="G474" s="792"/>
      <c r="H474" s="792"/>
      <c r="I474" s="792"/>
      <c r="J474" s="792"/>
      <c r="K474" s="792"/>
      <c r="L474" s="792"/>
      <c r="M474" s="792"/>
      <c r="N474" s="792"/>
      <c r="O474" s="792"/>
      <c r="P474" s="792"/>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36" customHeight="1" x14ac:dyDescent="0.3">
      <c r="A475" s="2"/>
      <c r="B475" s="922" t="s">
        <v>1353</v>
      </c>
      <c r="C475" s="941"/>
      <c r="D475" s="941"/>
      <c r="E475" s="941"/>
      <c r="F475" s="941"/>
      <c r="G475" s="941"/>
      <c r="H475" s="941"/>
      <c r="I475" s="941"/>
      <c r="J475" s="941"/>
      <c r="K475" s="941"/>
      <c r="L475" s="941"/>
      <c r="M475" s="941"/>
      <c r="N475" s="941"/>
      <c r="O475" s="941"/>
      <c r="P475" s="942"/>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12" customHeight="1" x14ac:dyDescent="0.35">
      <c r="A476" s="2"/>
      <c r="B476" s="1242"/>
      <c r="C476" s="1242"/>
      <c r="D476" s="1242"/>
      <c r="E476" s="1242"/>
      <c r="F476" s="1242"/>
      <c r="G476" s="1242"/>
      <c r="H476" s="1242"/>
      <c r="I476" s="1242"/>
      <c r="J476" s="1242"/>
      <c r="K476" s="1242"/>
      <c r="L476" s="1242"/>
      <c r="M476" s="1242"/>
      <c r="N476" s="1242"/>
      <c r="O476" s="1242"/>
      <c r="P476" s="1242"/>
      <c r="Q476" s="2"/>
      <c r="R476" s="10"/>
      <c r="S476" s="10"/>
      <c r="T476" s="10"/>
      <c r="U476" s="10"/>
      <c r="V476" s="10"/>
      <c r="W476" s="10"/>
      <c r="X476" s="10"/>
      <c r="AA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40.5" customHeight="1" x14ac:dyDescent="0.3">
      <c r="A477" s="2"/>
      <c r="B477" s="776" t="s">
        <v>107</v>
      </c>
      <c r="C477" s="776"/>
      <c r="D477" s="776"/>
      <c r="E477" s="776"/>
      <c r="F477" s="776"/>
      <c r="G477" s="776"/>
      <c r="H477" s="776"/>
      <c r="I477" s="776"/>
      <c r="J477" s="776"/>
      <c r="K477" s="776"/>
      <c r="L477" s="776"/>
      <c r="M477" s="776"/>
      <c r="N477" s="776"/>
      <c r="O477" s="776"/>
      <c r="P477" s="776"/>
      <c r="Q477" s="2"/>
      <c r="R477" s="10"/>
      <c r="S477" s="10"/>
      <c r="T477" s="10"/>
      <c r="U477" s="141"/>
      <c r="V477" s="10"/>
      <c r="W477" s="10"/>
      <c r="X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33.75" customHeight="1" x14ac:dyDescent="0.3">
      <c r="A478" s="2"/>
      <c r="B478" s="146"/>
      <c r="C478" s="927" t="s">
        <v>1795</v>
      </c>
      <c r="D478" s="925"/>
      <c r="E478" s="146"/>
      <c r="F478" s="927" t="s">
        <v>1276</v>
      </c>
      <c r="G478" s="927"/>
      <c r="H478" s="925"/>
      <c r="I478" s="925"/>
      <c r="J478" s="925" t="s">
        <v>1795</v>
      </c>
      <c r="K478" s="925"/>
      <c r="L478" s="925"/>
      <c r="M478" s="925"/>
      <c r="N478" s="925" t="s">
        <v>1737</v>
      </c>
      <c r="O478" s="925"/>
      <c r="P478" s="925"/>
      <c r="Q478" s="2"/>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3">
      <c r="A479" s="2"/>
      <c r="B479" s="146" t="s">
        <v>1358</v>
      </c>
      <c r="C479" s="770">
        <f>P33</f>
        <v>0</v>
      </c>
      <c r="D479" s="746"/>
      <c r="E479" s="18" t="s">
        <v>1790</v>
      </c>
      <c r="F479" s="1027">
        <v>0.06</v>
      </c>
      <c r="G479" s="1027"/>
      <c r="H479" s="1313" t="s">
        <v>1792</v>
      </c>
      <c r="I479" s="1313"/>
      <c r="J479" s="1326">
        <f>IF(C489&lt;R1,"DOI&lt;2005",IF($P$270&gt;0,0,T479))</f>
        <v>0</v>
      </c>
      <c r="K479" s="1326"/>
      <c r="L479" s="1326"/>
      <c r="M479" s="1326"/>
      <c r="N479" s="1313" t="str">
        <f>IF(C479=0,"",IF($P$270&gt;0,"Converted",""))</f>
        <v/>
      </c>
      <c r="O479" s="1313"/>
      <c r="P479" s="1313"/>
      <c r="Q479" s="2"/>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3">
      <c r="A480" s="2"/>
      <c r="B480" s="146" t="s">
        <v>1359</v>
      </c>
      <c r="C480" s="770">
        <f>P72</f>
        <v>0</v>
      </c>
      <c r="D480" s="746"/>
      <c r="E480" s="18" t="s">
        <v>1790</v>
      </c>
      <c r="F480" s="1027">
        <v>0.01</v>
      </c>
      <c r="G480" s="1027"/>
      <c r="H480" s="1313" t="s">
        <v>1792</v>
      </c>
      <c r="I480" s="1313"/>
      <c r="J480" s="1326">
        <f>IF(C489&lt;R1,"DOI&lt;2005",IF($P$270&gt;0,0,T480))</f>
        <v>0</v>
      </c>
      <c r="K480" s="1326"/>
      <c r="L480" s="1326"/>
      <c r="M480" s="1326"/>
      <c r="N480" s="1313" t="str">
        <f>IF(C480=0,"",IF($P$270&gt;0,"Converted",""))</f>
        <v/>
      </c>
      <c r="O480" s="1313"/>
      <c r="P480" s="1313"/>
      <c r="Q480" s="2"/>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3">
      <c r="A481" s="2"/>
      <c r="B481" s="146" t="s">
        <v>1360</v>
      </c>
      <c r="C481" s="770">
        <f>P112</f>
        <v>0</v>
      </c>
      <c r="D481" s="746"/>
      <c r="E481" s="18" t="s">
        <v>1790</v>
      </c>
      <c r="F481" s="1027">
        <v>0.01</v>
      </c>
      <c r="G481" s="1027"/>
      <c r="H481" s="1313" t="s">
        <v>1792</v>
      </c>
      <c r="I481" s="1313"/>
      <c r="J481" s="1326">
        <f>IF(C489&lt;R1,"DOI&lt;2005",IF($P$270&gt;0,0,T481))</f>
        <v>0</v>
      </c>
      <c r="K481" s="1326"/>
      <c r="L481" s="1326"/>
      <c r="M481" s="1326"/>
      <c r="N481" s="1313" t="str">
        <f>IF(C481=0,"",IF($P$270&gt;0,"Converted",""))</f>
        <v/>
      </c>
      <c r="O481" s="1313"/>
      <c r="P481" s="1313"/>
      <c r="Q481" s="2"/>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3">
      <c r="A482" s="2"/>
      <c r="B482" s="146" t="s">
        <v>1361</v>
      </c>
      <c r="C482" s="770">
        <f>P152</f>
        <v>0</v>
      </c>
      <c r="D482" s="746"/>
      <c r="E482" s="18" t="s">
        <v>1790</v>
      </c>
      <c r="F482" s="1027">
        <v>0.01</v>
      </c>
      <c r="G482" s="1027"/>
      <c r="H482" s="1313" t="s">
        <v>1792</v>
      </c>
      <c r="I482" s="1313"/>
      <c r="J482" s="1326">
        <f>IF(C489&lt;R1,"DOI&lt;2005",IF($P$270&gt;0,0,T482))</f>
        <v>0</v>
      </c>
      <c r="K482" s="1326"/>
      <c r="L482" s="1326"/>
      <c r="M482" s="1326"/>
      <c r="N482" s="1313" t="str">
        <f>IF(C482=0,"",IF($P$270&gt;0,"Converted",""))</f>
        <v/>
      </c>
      <c r="O482" s="1313"/>
      <c r="P482" s="1313"/>
      <c r="Q482" s="2"/>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3">
      <c r="A483" s="2"/>
      <c r="B483" s="146" t="s">
        <v>1362</v>
      </c>
      <c r="C483" s="770">
        <f>P192</f>
        <v>0</v>
      </c>
      <c r="D483" s="746"/>
      <c r="E483" s="18" t="s">
        <v>1790</v>
      </c>
      <c r="F483" s="1027">
        <v>0.01</v>
      </c>
      <c r="G483" s="1027"/>
      <c r="H483" s="1313" t="s">
        <v>1792</v>
      </c>
      <c r="I483" s="1313"/>
      <c r="J483" s="1326">
        <f>IF(C489&lt;R1,"DOI&lt;2005",IF($P$270&gt;0,0,T483))</f>
        <v>0</v>
      </c>
      <c r="K483" s="1326"/>
      <c r="L483" s="1326"/>
      <c r="M483" s="1326"/>
      <c r="N483" s="1313" t="str">
        <f>IF(C483=0,"",IF($P$270&gt;0,"Converted",""))</f>
        <v/>
      </c>
      <c r="O483" s="1313"/>
      <c r="P483" s="1313"/>
      <c r="Q483" s="2"/>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3">
      <c r="A484" s="2"/>
      <c r="B484" s="146" t="s">
        <v>1344</v>
      </c>
      <c r="C484" s="770">
        <f>P341</f>
        <v>0</v>
      </c>
      <c r="D484" s="746"/>
      <c r="E484" s="18" t="s">
        <v>1790</v>
      </c>
      <c r="F484" s="1027">
        <v>0.42</v>
      </c>
      <c r="G484" s="1027"/>
      <c r="H484" s="1313" t="s">
        <v>1792</v>
      </c>
      <c r="I484" s="1313"/>
      <c r="J484" s="1326">
        <f>IF(C489&lt;R1,"DOI&lt;2005",IF(AND(C484&gt;0,C485&gt;0),0,T484))</f>
        <v>0</v>
      </c>
      <c r="K484" s="1326"/>
      <c r="L484" s="1326"/>
      <c r="M484" s="1326"/>
      <c r="N484" s="1313" t="str">
        <f>IF(C484=0,"",IF(U481=1,"Converted",""))</f>
        <v/>
      </c>
      <c r="O484" s="1313"/>
      <c r="P484" s="1313"/>
      <c r="Q484" s="2"/>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s="6" customFormat="1" ht="18" customHeight="1" x14ac:dyDescent="0.3">
      <c r="A485" s="2"/>
      <c r="B485" s="146" t="s">
        <v>1363</v>
      </c>
      <c r="C485" s="770">
        <f>P448</f>
        <v>0</v>
      </c>
      <c r="D485" s="746"/>
      <c r="E485" s="18" t="s">
        <v>1790</v>
      </c>
      <c r="F485" s="1027">
        <v>0.47</v>
      </c>
      <c r="G485" s="1027"/>
      <c r="H485" s="1313" t="s">
        <v>1792</v>
      </c>
      <c r="I485" s="1313"/>
      <c r="J485" s="1326">
        <f>IF(C489&lt;R1,"DOI&lt;2005",T485)</f>
        <v>0</v>
      </c>
      <c r="K485" s="1326"/>
      <c r="L485" s="1326"/>
      <c r="M485" s="1326"/>
      <c r="N485" s="1313"/>
      <c r="O485" s="1313"/>
      <c r="P485" s="1313"/>
      <c r="Q485" s="2"/>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x14ac:dyDescent="0.3">
      <c r="B486" s="75"/>
      <c r="C486" s="167"/>
      <c r="D486" s="167"/>
      <c r="E486" s="167"/>
      <c r="F486" s="167"/>
      <c r="G486" s="167"/>
      <c r="H486" s="167"/>
      <c r="I486" s="167"/>
      <c r="J486" s="167"/>
      <c r="K486" s="167"/>
      <c r="L486" s="167"/>
      <c r="M486" s="167"/>
      <c r="N486" s="167"/>
      <c r="O486" s="167"/>
      <c r="P486" s="7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ht="30.75" customHeight="1" x14ac:dyDescent="0.3">
      <c r="B487" s="927" t="s">
        <v>1354</v>
      </c>
      <c r="C487" s="925"/>
      <c r="D487" s="925"/>
      <c r="E487" s="925"/>
      <c r="F487" s="925"/>
      <c r="G487" s="925"/>
      <c r="H487" s="925"/>
      <c r="I487" s="925"/>
      <c r="J487" s="925"/>
      <c r="K487" s="925"/>
      <c r="L487" s="925"/>
      <c r="M487" s="925"/>
      <c r="N487" s="925"/>
      <c r="O487" s="925"/>
      <c r="P487" s="925"/>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3">
      <c r="B488" s="1323"/>
      <c r="C488" s="1324"/>
      <c r="D488" s="1324"/>
      <c r="E488" s="1324"/>
      <c r="F488" s="1324"/>
      <c r="G488" s="1324"/>
      <c r="H488" s="1324"/>
      <c r="I488" s="1324"/>
      <c r="J488" s="1324"/>
      <c r="K488" s="1324"/>
      <c r="L488" s="1324"/>
      <c r="M488" s="1324"/>
      <c r="N488" s="1324"/>
      <c r="O488" s="1324"/>
      <c r="P488" s="132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3">
      <c r="B489" s="302" t="s">
        <v>1188</v>
      </c>
      <c r="C489" s="1332" t="str">
        <f>IF('Start here'!A8="","",'Start here'!A8)</f>
        <v/>
      </c>
      <c r="D489" s="1333"/>
      <c r="E489" s="1334"/>
      <c r="F489" s="1052" t="str">
        <f>IF(C489="","Enter date of injury on worksheet: Start here.","")</f>
        <v>Enter date of injury on worksheet: Start here.</v>
      </c>
      <c r="G489" s="1053"/>
      <c r="H489" s="1053"/>
      <c r="I489" s="1053"/>
      <c r="J489" s="1053"/>
      <c r="K489" s="1053"/>
      <c r="L489" s="1053"/>
      <c r="M489" s="1053"/>
      <c r="N489" s="1053"/>
      <c r="O489" s="1053"/>
      <c r="P489" s="1335"/>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x14ac:dyDescent="0.3">
      <c r="B490" s="1330"/>
      <c r="C490" s="1233"/>
      <c r="D490" s="1233"/>
      <c r="E490" s="1233"/>
      <c r="F490" s="1233"/>
      <c r="G490" s="1233"/>
      <c r="H490" s="1233"/>
      <c r="I490" s="1233"/>
      <c r="J490" s="1233"/>
      <c r="K490" s="1233"/>
      <c r="L490" s="1233"/>
      <c r="M490" s="1233"/>
      <c r="N490" s="1233"/>
      <c r="O490" s="1233"/>
      <c r="P490" s="1331"/>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38.25" customHeight="1" x14ac:dyDescent="0.3">
      <c r="B491" s="1174" t="s">
        <v>107</v>
      </c>
      <c r="C491" s="1174"/>
      <c r="D491" s="1174"/>
      <c r="E491" s="1174"/>
      <c r="F491" s="1174"/>
      <c r="G491" s="1174"/>
      <c r="H491" s="1174"/>
      <c r="I491" s="1174"/>
      <c r="J491" s="1174"/>
      <c r="K491" s="1174"/>
      <c r="L491" s="1174"/>
      <c r="M491" s="1174"/>
      <c r="N491" s="1174"/>
      <c r="O491" s="1174"/>
      <c r="P491" s="1174"/>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27" customHeight="1" x14ac:dyDescent="0.3">
      <c r="B492" s="292"/>
      <c r="C492" s="1189" t="s">
        <v>1795</v>
      </c>
      <c r="D492" s="1189"/>
      <c r="E492" s="36"/>
      <c r="F492" s="1337" t="s">
        <v>1355</v>
      </c>
      <c r="G492" s="1189"/>
      <c r="H492" s="1189" t="s">
        <v>365</v>
      </c>
      <c r="I492" s="1189"/>
      <c r="J492" s="1189"/>
      <c r="K492" s="36"/>
      <c r="L492" s="1337" t="s">
        <v>1356</v>
      </c>
      <c r="M492" s="1189"/>
      <c r="N492" s="36"/>
      <c r="O492" s="1189" t="s">
        <v>1191</v>
      </c>
      <c r="P492" s="1189"/>
      <c r="R492" s="535" t="s">
        <v>2196</v>
      </c>
      <c r="S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3">
      <c r="B493" s="292" t="s">
        <v>377</v>
      </c>
      <c r="C493" s="1190">
        <f>P33</f>
        <v>0</v>
      </c>
      <c r="D493" s="1191"/>
      <c r="E493" s="36" t="s">
        <v>1790</v>
      </c>
      <c r="F493" s="36">
        <v>18</v>
      </c>
      <c r="G493" s="36" t="s">
        <v>1792</v>
      </c>
      <c r="H493" s="1327">
        <f>C493*F493</f>
        <v>0</v>
      </c>
      <c r="I493" s="1327"/>
      <c r="J493" s="1327"/>
      <c r="K493" s="36" t="s">
        <v>1790</v>
      </c>
      <c r="L493" s="1329" t="e">
        <f>'Dol Per Deg'!$H$11</f>
        <v>#N/A</v>
      </c>
      <c r="M493" s="1191"/>
      <c r="N493" s="36" t="s">
        <v>1792</v>
      </c>
      <c r="O493" s="1328" t="str">
        <f>IF(C489&gt;=R1,"DOI&gt;2004",IF(C493=0,0,IF(AND($R$491=1,C493&gt;0),"Converted",H493*L493)))</f>
        <v>DOI&gt;2004</v>
      </c>
      <c r="P493" s="1328"/>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3">
      <c r="B494" s="292" t="s">
        <v>876</v>
      </c>
      <c r="C494" s="1190">
        <f>P72</f>
        <v>0</v>
      </c>
      <c r="D494" s="1191"/>
      <c r="E494" s="36" t="s">
        <v>1790</v>
      </c>
      <c r="F494" s="36">
        <v>4</v>
      </c>
      <c r="G494" s="36" t="s">
        <v>1792</v>
      </c>
      <c r="H494" s="1327">
        <f t="shared" ref="H494:H499" si="74">C494*F494</f>
        <v>0</v>
      </c>
      <c r="I494" s="1327"/>
      <c r="J494" s="1327"/>
      <c r="K494" s="36" t="s">
        <v>1790</v>
      </c>
      <c r="L494" s="1329" t="e">
        <f>'Dol Per Deg'!$H$11</f>
        <v>#N/A</v>
      </c>
      <c r="M494" s="1191"/>
      <c r="N494" s="36" t="s">
        <v>1792</v>
      </c>
      <c r="O494" s="1328" t="str">
        <f>IF(C489&gt;=R1,"DOI&gt;2004",IF(C494=0,0,IF(AND($R$491=1,C494&gt;0),"Converted",H494*L494)))</f>
        <v>DOI&gt;2004</v>
      </c>
      <c r="P494" s="1328"/>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3">
      <c r="B495" s="292" t="s">
        <v>539</v>
      </c>
      <c r="C495" s="1190">
        <f>P112</f>
        <v>0</v>
      </c>
      <c r="D495" s="1191"/>
      <c r="E495" s="36" t="s">
        <v>1790</v>
      </c>
      <c r="F495" s="36">
        <v>4</v>
      </c>
      <c r="G495" s="36" t="s">
        <v>1792</v>
      </c>
      <c r="H495" s="1327">
        <f t="shared" si="74"/>
        <v>0</v>
      </c>
      <c r="I495" s="1327"/>
      <c r="J495" s="1327"/>
      <c r="K495" s="36" t="s">
        <v>1790</v>
      </c>
      <c r="L495" s="1329" t="e">
        <f>'Dol Per Deg'!$H$11</f>
        <v>#N/A</v>
      </c>
      <c r="M495" s="1191"/>
      <c r="N495" s="36" t="s">
        <v>1792</v>
      </c>
      <c r="O495" s="1328" t="str">
        <f>IF(C489&gt;=R1,"DOI&gt;2004",IF(C495=0,0,IF(AND($R$491=1,C495&gt;0),"Converted",H495*L495)))</f>
        <v>DOI&gt;2004</v>
      </c>
      <c r="P495" s="1328"/>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3">
      <c r="B496" s="292" t="s">
        <v>540</v>
      </c>
      <c r="C496" s="1190">
        <f>P152</f>
        <v>0</v>
      </c>
      <c r="D496" s="1191"/>
      <c r="E496" s="36" t="s">
        <v>1790</v>
      </c>
      <c r="F496" s="36">
        <v>4</v>
      </c>
      <c r="G496" s="36" t="s">
        <v>1792</v>
      </c>
      <c r="H496" s="1327">
        <f t="shared" si="74"/>
        <v>0</v>
      </c>
      <c r="I496" s="1327"/>
      <c r="J496" s="1327"/>
      <c r="K496" s="36" t="s">
        <v>1790</v>
      </c>
      <c r="L496" s="1329" t="e">
        <f>'Dol Per Deg'!$H$11</f>
        <v>#N/A</v>
      </c>
      <c r="M496" s="1191"/>
      <c r="N496" s="36" t="s">
        <v>1792</v>
      </c>
      <c r="O496" s="1328" t="str">
        <f>IF(C489&gt;=R1,"DOI&gt;2004",IF(C496=0,0,IF(AND($R$491=1,C496&gt;0),"Converted",H496*L496)))</f>
        <v>DOI&gt;2004</v>
      </c>
      <c r="P496" s="1328"/>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3">
      <c r="B497" s="292" t="s">
        <v>541</v>
      </c>
      <c r="C497" s="1190">
        <f>P192</f>
        <v>0</v>
      </c>
      <c r="D497" s="1191"/>
      <c r="E497" s="36" t="s">
        <v>1790</v>
      </c>
      <c r="F497" s="36">
        <v>4</v>
      </c>
      <c r="G497" s="36" t="s">
        <v>1792</v>
      </c>
      <c r="H497" s="1327">
        <f t="shared" si="74"/>
        <v>0</v>
      </c>
      <c r="I497" s="1327"/>
      <c r="J497" s="1327"/>
      <c r="K497" s="36" t="s">
        <v>1790</v>
      </c>
      <c r="L497" s="1329" t="e">
        <f>'Dol Per Deg'!$H$11</f>
        <v>#N/A</v>
      </c>
      <c r="M497" s="1191"/>
      <c r="N497" s="36" t="s">
        <v>1792</v>
      </c>
      <c r="O497" s="1328" t="str">
        <f>IF(C489&gt;=R1,"DOI&gt;2004",IF(C497=0,0,IF(AND($R$491=1,C497&gt;0),"Converted",H497*L497)))</f>
        <v>DOI&gt;2004</v>
      </c>
      <c r="P497" s="1328"/>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3">
      <c r="B498" s="292" t="s">
        <v>542</v>
      </c>
      <c r="C498" s="1190">
        <f>P341</f>
        <v>0</v>
      </c>
      <c r="D498" s="1191"/>
      <c r="E498" s="36" t="s">
        <v>1790</v>
      </c>
      <c r="F498" s="36">
        <v>135</v>
      </c>
      <c r="G498" s="36" t="s">
        <v>1792</v>
      </c>
      <c r="H498" s="1327">
        <f t="shared" si="74"/>
        <v>0</v>
      </c>
      <c r="I498" s="1327"/>
      <c r="J498" s="1327"/>
      <c r="K498" s="36" t="s">
        <v>1790</v>
      </c>
      <c r="L498" s="1329" t="e">
        <f>'Dol Per Deg'!$H$11</f>
        <v>#N/A</v>
      </c>
      <c r="M498" s="1191"/>
      <c r="N498" s="36" t="s">
        <v>1792</v>
      </c>
      <c r="O498" s="1328" t="str">
        <f>IF(C489&gt;=R1,"DOI&gt;2004",IF(C498=0,0,IF(AND(C498&gt;0,C499&gt;0),"Converted",H498*L498)))</f>
        <v>DOI&gt;2004</v>
      </c>
      <c r="P498" s="1328"/>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ht="18" customHeight="1" x14ac:dyDescent="0.3">
      <c r="B499" s="292" t="s">
        <v>543</v>
      </c>
      <c r="C499" s="1190">
        <f>P448</f>
        <v>0</v>
      </c>
      <c r="D499" s="1191"/>
      <c r="E499" s="36" t="s">
        <v>1790</v>
      </c>
      <c r="F499" s="36">
        <v>150</v>
      </c>
      <c r="G499" s="36" t="s">
        <v>1792</v>
      </c>
      <c r="H499" s="1327">
        <f t="shared" si="74"/>
        <v>0</v>
      </c>
      <c r="I499" s="1327"/>
      <c r="J499" s="1327"/>
      <c r="K499" s="36" t="s">
        <v>1790</v>
      </c>
      <c r="L499" s="1329" t="e">
        <f>'Dol Per Deg'!$H$11</f>
        <v>#N/A</v>
      </c>
      <c r="M499" s="1191"/>
      <c r="N499" s="36" t="s">
        <v>1792</v>
      </c>
      <c r="O499" s="1329" t="str">
        <f>IF(C489&gt;=R1,"DOI&gt;2004",IF(C499=0,0,H499*L499))</f>
        <v>DOI&gt;2004</v>
      </c>
      <c r="P499" s="1191"/>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s="6" customFormat="1" ht="33.75" customHeight="1" x14ac:dyDescent="0.35">
      <c r="A500" s="2"/>
      <c r="B500" s="1049" t="s">
        <v>947</v>
      </c>
      <c r="C500" s="1049"/>
      <c r="D500" s="1049"/>
      <c r="E500" s="1049"/>
      <c r="F500" s="1049"/>
      <c r="G500" s="1049"/>
      <c r="H500" s="1049"/>
      <c r="I500" s="1049"/>
      <c r="J500" s="1049"/>
      <c r="K500" s="1049"/>
      <c r="L500" s="1049"/>
      <c r="M500" s="1049"/>
      <c r="N500" s="1049"/>
      <c r="O500" s="1049"/>
      <c r="P500" s="1049"/>
      <c r="Q500" s="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x14ac:dyDescent="0.3">
      <c r="B501" s="246" t="s">
        <v>790</v>
      </c>
      <c r="C501" s="1336" t="str">
        <f>IF(S1&lt;&gt;"",S1,"")</f>
        <v>Go to PPD Worksheet</v>
      </c>
      <c r="D501" s="1336"/>
      <c r="E501" s="1336"/>
      <c r="F501" s="1336"/>
      <c r="G501" s="1336"/>
      <c r="H501" s="1336" t="str">
        <f>IF(S2&lt;&gt;"",S2,"")</f>
        <v/>
      </c>
      <c r="I501" s="1336"/>
      <c r="J501" s="1336"/>
      <c r="K501" s="1336"/>
      <c r="L501" s="1336"/>
      <c r="M501" s="1336"/>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 x14ac:dyDescent="0.3">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 hidden="1" x14ac:dyDescent="0.3">
      <c r="B503" s="83"/>
      <c r="C503" s="72"/>
      <c r="D503" s="72"/>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 hidden="1" x14ac:dyDescent="0.3">
      <c r="B504" s="1174" t="s">
        <v>2240</v>
      </c>
      <c r="C504" s="1174"/>
      <c r="D504" s="1174"/>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 hidden="1" x14ac:dyDescent="0.3">
      <c r="B505" s="1174"/>
      <c r="C505" s="1174"/>
      <c r="D505" s="1174"/>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 hidden="1" x14ac:dyDescent="0.3">
      <c r="B506" s="1174"/>
      <c r="C506" s="1174"/>
      <c r="D506" s="1174"/>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ht="14" hidden="1" x14ac:dyDescent="0.3">
      <c r="B507" s="618">
        <v>0.01</v>
      </c>
      <c r="C507" s="1175">
        <v>0.99</v>
      </c>
      <c r="D507" s="1175"/>
      <c r="E507" s="72"/>
      <c r="F507" s="72"/>
      <c r="G507" s="72"/>
      <c r="H507" s="72"/>
      <c r="I507" s="72"/>
      <c r="J507" s="72"/>
      <c r="K507" s="72"/>
      <c r="L507" s="72"/>
      <c r="M507" s="72"/>
      <c r="N507" s="72"/>
      <c r="O507" s="72"/>
      <c r="P507" s="6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row>
    <row r="508" spans="1:241" s="171" customFormat="1" hidden="1" x14ac:dyDescent="0.3">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1:241" hidden="1" x14ac:dyDescent="0.3">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idden="1" x14ac:dyDescent="0.3">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t="46.5" hidden="1" customHeight="1" x14ac:dyDescent="0.3">
      <c r="B511" s="535" t="s">
        <v>2231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3">
      <c r="B512" s="146" t="s">
        <v>1941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3">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3">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3">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3">
      <c r="B516" s="146">
        <v>3</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3">
      <c r="B517" s="146">
        <v>4</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3">
      <c r="B518" s="146">
        <v>5</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3">
      <c r="B519" s="146">
        <v>6</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3">
      <c r="B520" s="146">
        <v>7</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3">
      <c r="B521" s="146">
        <v>8</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3">
      <c r="B522" s="146">
        <v>9</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3">
      <c r="B523" s="146">
        <v>10</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3">
      <c r="B524" s="146">
        <v>11</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3">
      <c r="B525" s="146">
        <v>12</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3">
      <c r="B526" s="146">
        <v>13</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3">
      <c r="B527" s="146">
        <v>14</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3">
      <c r="B528" s="146">
        <v>15</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3">
      <c r="B529" s="146">
        <v>16</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3">
      <c r="B530" s="146">
        <v>17</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3">
      <c r="B531" s="146">
        <v>18</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3">
      <c r="B532" s="146">
        <v>19</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3">
      <c r="B533" s="146">
        <v>20</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3">
      <c r="B534" s="146">
        <v>21</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3">
      <c r="B535" s="146">
        <v>22</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3">
      <c r="B536" s="146">
        <v>23</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3">
      <c r="B537" s="146">
        <v>24</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3">
      <c r="B538" s="146">
        <v>25</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3">
      <c r="B539" s="146">
        <v>26</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3">
      <c r="B540" s="146">
        <v>27</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3">
      <c r="B541" s="146">
        <v>28</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3">
      <c r="B542" s="146">
        <v>29</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3">
      <c r="B543" s="146">
        <v>30</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3">
      <c r="B544" s="146">
        <v>31</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3">
      <c r="B545" s="146">
        <v>32</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3">
      <c r="B546" s="146">
        <v>33</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3">
      <c r="B547" s="146">
        <v>34</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3">
      <c r="B548" s="146">
        <v>35</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3">
      <c r="B549" s="146">
        <v>36</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3">
      <c r="B550" s="146">
        <v>37</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3">
      <c r="B551" s="146">
        <v>38</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3">
      <c r="B552" s="146">
        <v>39</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3">
      <c r="B553" s="146">
        <v>40</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3">
      <c r="B554" s="146">
        <v>41</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3">
      <c r="B555" s="146">
        <v>42</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3">
      <c r="B556" s="146">
        <v>43</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3">
      <c r="B557" s="146">
        <v>44</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3">
      <c r="B558" s="146">
        <v>45</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3">
      <c r="B559" s="146">
        <v>46</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3">
      <c r="B560" s="146">
        <v>47</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3">
      <c r="B561" s="146">
        <v>48</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3">
      <c r="B562" s="146">
        <v>49</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3">
      <c r="B563" s="146">
        <v>50</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3">
      <c r="B564" s="146">
        <v>51</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3">
      <c r="B565" s="146">
        <v>52</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3">
      <c r="B566" s="146">
        <v>53</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3">
      <c r="B567" s="146">
        <v>54</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3">
      <c r="B568" s="146">
        <v>55</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3">
      <c r="B569" s="146">
        <v>56</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3">
      <c r="B570" s="146">
        <v>57</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3">
      <c r="B571" s="146">
        <v>58</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3">
      <c r="B572" s="146">
        <v>59</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3">
      <c r="B573" s="146">
        <v>60</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3">
      <c r="B574" s="146">
        <v>61</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3">
      <c r="B575" s="146">
        <v>62</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3">
      <c r="B576" s="146">
        <v>63</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3">
      <c r="B577" s="146">
        <v>64</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3">
      <c r="B578" s="146">
        <v>65</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3">
      <c r="B579" s="146">
        <v>66</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3">
      <c r="B580" s="146">
        <v>67</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3">
      <c r="B581" s="146">
        <v>68</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3">
      <c r="B582" s="146">
        <v>69</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3">
      <c r="B583" s="146">
        <v>70</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3">
      <c r="B584" s="146">
        <v>71</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3">
      <c r="B585" s="146">
        <v>72</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3">
      <c r="B586" s="146">
        <v>73</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3">
      <c r="B587" s="146">
        <v>74</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3">
      <c r="B588" s="146">
        <v>75</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3">
      <c r="B589" s="146">
        <v>76</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3">
      <c r="B590" s="146">
        <v>77</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3">
      <c r="B591" s="146">
        <v>78</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3">
      <c r="B592" s="146">
        <v>79</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3">
      <c r="B593" s="146">
        <v>80</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3">
      <c r="B594" s="146">
        <v>81</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3">
      <c r="B595" s="146">
        <v>82</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3">
      <c r="B596" s="146">
        <v>83</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3">
      <c r="B597" s="146">
        <v>84</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3">
      <c r="B598" s="146">
        <v>85</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3">
      <c r="B599" s="146">
        <v>86</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3">
      <c r="B600" s="146">
        <v>87</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3">
      <c r="B601" s="146">
        <v>88</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3">
      <c r="B602" s="146">
        <v>89</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3">
      <c r="B603" s="146">
        <v>90</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3">
      <c r="B604" s="146">
        <v>91</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3">
      <c r="B605" s="146">
        <v>92</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3">
      <c r="B606" s="146">
        <v>93</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3">
      <c r="B607" s="146">
        <v>94</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3">
      <c r="B608" s="146">
        <v>95</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3">
      <c r="B609" s="146">
        <v>96</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3">
      <c r="B610" s="146">
        <v>97</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3">
      <c r="B611" s="146">
        <v>98</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3">
      <c r="B612" s="146">
        <v>99</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3">
      <c r="B613" s="146">
        <v>100</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3">
      <c r="B614" s="146">
        <v>101</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3">
      <c r="B615" s="146">
        <v>102</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3">
      <c r="B616" s="146">
        <v>103</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3">
      <c r="B617" s="146">
        <v>104</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3">
      <c r="B618" s="146">
        <v>105</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3">
      <c r="B619" s="146">
        <v>106</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3">
      <c r="B620" s="146">
        <v>107</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3">
      <c r="B621" s="146">
        <v>108</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3">
      <c r="B622" s="146">
        <v>109</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3">
      <c r="B623" s="146">
        <v>110</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3">
      <c r="B624" s="146">
        <v>111</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3">
      <c r="B625" s="146">
        <v>112</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3">
      <c r="B626" s="146">
        <v>113</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3">
      <c r="B627" s="146">
        <v>114</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3">
      <c r="B628" s="146">
        <v>115</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3">
      <c r="B629" s="146">
        <v>116</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3">
      <c r="B630" s="146">
        <v>117</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3">
      <c r="B631" s="146">
        <v>118</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3">
      <c r="B632" s="146">
        <v>119</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3">
      <c r="B633" s="146">
        <v>120</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3">
      <c r="B634" s="146">
        <v>121</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3">
      <c r="B635" s="146">
        <v>122</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3">
      <c r="B636" s="146">
        <v>123</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3">
      <c r="B637" s="146">
        <v>124</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3">
      <c r="B638" s="146">
        <v>125</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3">
      <c r="B639" s="146">
        <v>126</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3">
      <c r="B640" s="146">
        <v>127</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3">
      <c r="B641" s="146">
        <v>128</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3">
      <c r="B642" s="146">
        <v>129</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3">
      <c r="B643" s="146">
        <v>130</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3">
      <c r="B644" s="146">
        <v>131</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3">
      <c r="B645" s="146">
        <v>132</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3">
      <c r="B646" s="146">
        <v>133</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3">
      <c r="B647" s="146">
        <v>134</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3">
      <c r="B648" s="146">
        <v>135</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3">
      <c r="B649" s="146">
        <v>136</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3">
      <c r="B650" s="146">
        <v>137</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3">
      <c r="B651" s="146">
        <v>138</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3">
      <c r="B652" s="146">
        <v>139</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3">
      <c r="B653" s="146">
        <v>140</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3">
      <c r="B654" s="146">
        <v>141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3">
      <c r="B655" s="146">
        <v>142</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3">
      <c r="B656" s="146">
        <v>143</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3">
      <c r="B657" s="146">
        <v>144</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3">
      <c r="B658" s="146">
        <v>145</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3">
      <c r="B659" s="146">
        <v>146</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3">
      <c r="B660" s="146">
        <v>147</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3">
      <c r="B661" s="146">
        <v>148</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3">
      <c r="B662" s="146">
        <v>149</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3">
      <c r="B663" s="146">
        <v>150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3">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3">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3">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3">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3">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hidden="1" x14ac:dyDescent="0.3">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3">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3">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3">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3">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3">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3">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3">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3">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3">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3">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3">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3">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3">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3">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3">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3">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3">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3">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3">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3">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3">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3">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3">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3">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3">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3">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row r="696" spans="18:142" x14ac:dyDescent="0.3">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row>
  </sheetData>
  <sheetProtection sheet="1" objects="1" scenarios="1"/>
  <mergeCells count="1232">
    <mergeCell ref="R242:R243"/>
    <mergeCell ref="B242:F242"/>
    <mergeCell ref="V133:W133"/>
    <mergeCell ref="T132:U132"/>
    <mergeCell ref="R146:S146"/>
    <mergeCell ref="T172:U172"/>
    <mergeCell ref="V173:W173"/>
    <mergeCell ref="R186:S186"/>
    <mergeCell ref="E461:F461"/>
    <mergeCell ref="F270:K270"/>
    <mergeCell ref="C227:F227"/>
    <mergeCell ref="G227:K227"/>
    <mergeCell ref="L227:O227"/>
    <mergeCell ref="P221:P233"/>
    <mergeCell ref="L233:N233"/>
    <mergeCell ref="L234:O234"/>
    <mergeCell ref="B234:K234"/>
    <mergeCell ref="C139:D139"/>
    <mergeCell ref="B244:O244"/>
    <mergeCell ref="B245:O245"/>
    <mergeCell ref="E257:F257"/>
    <mergeCell ref="G257:O257"/>
    <mergeCell ref="E453:F453"/>
    <mergeCell ref="R406:R407"/>
    <mergeCell ref="R410:R411"/>
    <mergeCell ref="G449:I449"/>
    <mergeCell ref="J449:K449"/>
    <mergeCell ref="J228:K228"/>
    <mergeCell ref="G225:O225"/>
    <mergeCell ref="B180:O180"/>
    <mergeCell ref="C233:D233"/>
    <mergeCell ref="E148:O148"/>
    <mergeCell ref="Z105:AB105"/>
    <mergeCell ref="C229:D229"/>
    <mergeCell ref="C225:D225"/>
    <mergeCell ref="T220:U220"/>
    <mergeCell ref="B220:O220"/>
    <mergeCell ref="Y182:Y183"/>
    <mergeCell ref="P72:P81"/>
    <mergeCell ref="J78:K78"/>
    <mergeCell ref="Z185:AB185"/>
    <mergeCell ref="F219:G219"/>
    <mergeCell ref="C221:F221"/>
    <mergeCell ref="AA128:AD128"/>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E194:F194"/>
    <mergeCell ref="S2:T2"/>
    <mergeCell ref="S1:T1"/>
    <mergeCell ref="R238:R239"/>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E58:J59"/>
    <mergeCell ref="C59:D59"/>
    <mergeCell ref="Z146:AB146"/>
    <mergeCell ref="Y142:Y143"/>
    <mergeCell ref="C177:D177"/>
    <mergeCell ref="B162:O162"/>
    <mergeCell ref="M1:P1"/>
    <mergeCell ref="E138:J139"/>
    <mergeCell ref="F218:G218"/>
    <mergeCell ref="G229:O229"/>
    <mergeCell ref="G230:I230"/>
    <mergeCell ref="C179:D179"/>
    <mergeCell ref="Y172:AA172"/>
    <mergeCell ref="C230:D230"/>
    <mergeCell ref="B28:M28"/>
    <mergeCell ref="N28:O28"/>
    <mergeCell ref="B66:M66"/>
    <mergeCell ref="N66:O66"/>
    <mergeCell ref="J56:K56"/>
    <mergeCell ref="B146:M146"/>
    <mergeCell ref="B140:O140"/>
    <mergeCell ref="B128:O128"/>
    <mergeCell ref="C136:D136"/>
    <mergeCell ref="B119:D119"/>
    <mergeCell ref="B120:D120"/>
    <mergeCell ref="E120:F120"/>
    <mergeCell ref="J38:K38"/>
    <mergeCell ref="E189:O189"/>
    <mergeCell ref="C189:D189"/>
    <mergeCell ref="E79:F79"/>
    <mergeCell ref="E56:F56"/>
    <mergeCell ref="E57:F57"/>
    <mergeCell ref="B186:M186"/>
    <mergeCell ref="L75:O76"/>
    <mergeCell ref="B163:P163"/>
    <mergeCell ref="J173:K173"/>
    <mergeCell ref="G173:I173"/>
    <mergeCell ref="N146:O146"/>
    <mergeCell ref="H499:J499"/>
    <mergeCell ref="L499:M499"/>
    <mergeCell ref="L498:M498"/>
    <mergeCell ref="B256:O256"/>
    <mergeCell ref="R49:R50"/>
    <mergeCell ref="T52:U52"/>
    <mergeCell ref="V53:W53"/>
    <mergeCell ref="B76:D76"/>
    <mergeCell ref="E76:F76"/>
    <mergeCell ref="G76:I76"/>
    <mergeCell ref="J76:K76"/>
    <mergeCell ref="B157:D157"/>
    <mergeCell ref="E157:F157"/>
    <mergeCell ref="R280:S280"/>
    <mergeCell ref="H492:J492"/>
    <mergeCell ref="N483:P483"/>
    <mergeCell ref="J483:M483"/>
    <mergeCell ref="B454:D454"/>
    <mergeCell ref="B453:D453"/>
    <mergeCell ref="G450:I450"/>
    <mergeCell ref="H493:J493"/>
    <mergeCell ref="H495:J495"/>
    <mergeCell ref="C493:D493"/>
    <mergeCell ref="L494:M494"/>
    <mergeCell ref="O496:P496"/>
    <mergeCell ref="H496:J496"/>
    <mergeCell ref="L495:M495"/>
    <mergeCell ref="L496:M496"/>
    <mergeCell ref="C479:D479"/>
    <mergeCell ref="E232:K233"/>
    <mergeCell ref="B232:B233"/>
    <mergeCell ref="B438:O438"/>
    <mergeCell ref="Z252:AB252"/>
    <mergeCell ref="S270:T270"/>
    <mergeCell ref="S271:T271"/>
    <mergeCell ref="S101:U101"/>
    <mergeCell ref="S141:U141"/>
    <mergeCell ref="AD229:AG229"/>
    <mergeCell ref="Z186:AB186"/>
    <mergeCell ref="T125:T126"/>
    <mergeCell ref="Z106:AB106"/>
    <mergeCell ref="Z145:AB145"/>
    <mergeCell ref="E118:F118"/>
    <mergeCell ref="B248:F248"/>
    <mergeCell ref="Y132:AA132"/>
    <mergeCell ref="K178:N178"/>
    <mergeCell ref="K179:O179"/>
    <mergeCell ref="E178:J179"/>
    <mergeCell ref="C231:D231"/>
    <mergeCell ref="B235:O235"/>
    <mergeCell ref="E231:F231"/>
    <mergeCell ref="B241:O241"/>
    <mergeCell ref="B181:O181"/>
    <mergeCell ref="C148:D148"/>
    <mergeCell ref="F217:G217"/>
    <mergeCell ref="E176:F176"/>
    <mergeCell ref="G262:O262"/>
    <mergeCell ref="F250:G250"/>
    <mergeCell ref="N253:O253"/>
    <mergeCell ref="B249:O249"/>
    <mergeCell ref="G259:O259"/>
    <mergeCell ref="B257:D263"/>
    <mergeCell ref="E261:F261"/>
    <mergeCell ref="E262:F262"/>
    <mergeCell ref="C501:G501"/>
    <mergeCell ref="H501:M501"/>
    <mergeCell ref="H483:I483"/>
    <mergeCell ref="J485:M485"/>
    <mergeCell ref="C377:D377"/>
    <mergeCell ref="F483:G483"/>
    <mergeCell ref="F282:L282"/>
    <mergeCell ref="N421:O421"/>
    <mergeCell ref="C413:O416"/>
    <mergeCell ref="N420:O420"/>
    <mergeCell ref="B421:M421"/>
    <mergeCell ref="C483:D483"/>
    <mergeCell ref="B437:O437"/>
    <mergeCell ref="B500:P500"/>
    <mergeCell ref="O499:P499"/>
    <mergeCell ref="C498:D498"/>
    <mergeCell ref="B292:L292"/>
    <mergeCell ref="C492:D492"/>
    <mergeCell ref="F492:G492"/>
    <mergeCell ref="B491:P491"/>
    <mergeCell ref="O492:P492"/>
    <mergeCell ref="L492:M492"/>
    <mergeCell ref="J480:M480"/>
    <mergeCell ref="C499:D499"/>
    <mergeCell ref="O498:P498"/>
    <mergeCell ref="H498:J498"/>
    <mergeCell ref="J479:M479"/>
    <mergeCell ref="B472:O472"/>
    <mergeCell ref="F446:K446"/>
    <mergeCell ref="C424:O424"/>
    <mergeCell ref="G433:O433"/>
    <mergeCell ref="J401:O401"/>
    <mergeCell ref="B476:P476"/>
    <mergeCell ref="F478:G478"/>
    <mergeCell ref="N482:P482"/>
    <mergeCell ref="H478:I478"/>
    <mergeCell ref="J481:M481"/>
    <mergeCell ref="J478:M478"/>
    <mergeCell ref="H485:I485"/>
    <mergeCell ref="J484:M484"/>
    <mergeCell ref="H484:I484"/>
    <mergeCell ref="F484:G484"/>
    <mergeCell ref="F485:G485"/>
    <mergeCell ref="N484:P484"/>
    <mergeCell ref="N485:P485"/>
    <mergeCell ref="H494:J494"/>
    <mergeCell ref="C496:D496"/>
    <mergeCell ref="C494:D494"/>
    <mergeCell ref="O493:P493"/>
    <mergeCell ref="B490:P490"/>
    <mergeCell ref="C489:E489"/>
    <mergeCell ref="F489:P489"/>
    <mergeCell ref="B468:D468"/>
    <mergeCell ref="B467:D467"/>
    <mergeCell ref="B463:D463"/>
    <mergeCell ref="B464:D464"/>
    <mergeCell ref="B465:D465"/>
    <mergeCell ref="G435:O435"/>
    <mergeCell ref="L459:O462"/>
    <mergeCell ref="B487:P487"/>
    <mergeCell ref="B442:O442"/>
    <mergeCell ref="E434:F434"/>
    <mergeCell ref="H381:O381"/>
    <mergeCell ref="B473:P473"/>
    <mergeCell ref="G460:I460"/>
    <mergeCell ref="E470:F470"/>
    <mergeCell ref="B470:D470"/>
    <mergeCell ref="C396:O396"/>
    <mergeCell ref="E460:F460"/>
    <mergeCell ref="G453:I453"/>
    <mergeCell ref="L466:O471"/>
    <mergeCell ref="E451:F451"/>
    <mergeCell ref="B448:F448"/>
    <mergeCell ref="B451:D451"/>
    <mergeCell ref="E449:F449"/>
    <mergeCell ref="B430:D436"/>
    <mergeCell ref="J470:K470"/>
    <mergeCell ref="J471:K471"/>
    <mergeCell ref="N479:P479"/>
    <mergeCell ref="N478:P478"/>
    <mergeCell ref="N439:O439"/>
    <mergeCell ref="E455:F455"/>
    <mergeCell ref="G463:I463"/>
    <mergeCell ref="E456:F456"/>
    <mergeCell ref="B456:D456"/>
    <mergeCell ref="B450:D450"/>
    <mergeCell ref="N480:P480"/>
    <mergeCell ref="N481:P481"/>
    <mergeCell ref="C497:D497"/>
    <mergeCell ref="C495:D495"/>
    <mergeCell ref="H497:J497"/>
    <mergeCell ref="O497:P497"/>
    <mergeCell ref="L493:M493"/>
    <mergeCell ref="L497:M497"/>
    <mergeCell ref="O494:P494"/>
    <mergeCell ref="C485:D485"/>
    <mergeCell ref="B471:D471"/>
    <mergeCell ref="E469:F469"/>
    <mergeCell ref="B443:M443"/>
    <mergeCell ref="N443:O443"/>
    <mergeCell ref="B441:O441"/>
    <mergeCell ref="B458:D458"/>
    <mergeCell ref="G470:I470"/>
    <mergeCell ref="J464:K464"/>
    <mergeCell ref="J463:K463"/>
    <mergeCell ref="G454:I454"/>
    <mergeCell ref="G451:I451"/>
    <mergeCell ref="E450:F450"/>
    <mergeCell ref="C484:D484"/>
    <mergeCell ref="O495:P495"/>
    <mergeCell ref="B475:P475"/>
    <mergeCell ref="G465:I465"/>
    <mergeCell ref="J465:K465"/>
    <mergeCell ref="G466:I466"/>
    <mergeCell ref="J466:K466"/>
    <mergeCell ref="B477:P477"/>
    <mergeCell ref="G432:O432"/>
    <mergeCell ref="G436:O436"/>
    <mergeCell ref="B488:P488"/>
    <mergeCell ref="J467:K467"/>
    <mergeCell ref="B469:D469"/>
    <mergeCell ref="L453:O458"/>
    <mergeCell ref="B439:M439"/>
    <mergeCell ref="B449:D449"/>
    <mergeCell ref="L450:O450"/>
    <mergeCell ref="B452:D452"/>
    <mergeCell ref="E452:F452"/>
    <mergeCell ref="J454:K454"/>
    <mergeCell ref="G467:I467"/>
    <mergeCell ref="B440:P440"/>
    <mergeCell ref="P441:P442"/>
    <mergeCell ref="E458:F458"/>
    <mergeCell ref="B461:D461"/>
    <mergeCell ref="B460:D460"/>
    <mergeCell ref="E464:F464"/>
    <mergeCell ref="J450:K450"/>
    <mergeCell ref="C446:E446"/>
    <mergeCell ref="G452:I452"/>
    <mergeCell ref="G459:I459"/>
    <mergeCell ref="B462:D462"/>
    <mergeCell ref="J458:K458"/>
    <mergeCell ref="J456:K456"/>
    <mergeCell ref="G456:I456"/>
    <mergeCell ref="J482:M482"/>
    <mergeCell ref="C481:D481"/>
    <mergeCell ref="C480:D480"/>
    <mergeCell ref="F480:G480"/>
    <mergeCell ref="E435:F435"/>
    <mergeCell ref="E471:F471"/>
    <mergeCell ref="F482:G482"/>
    <mergeCell ref="C407:O407"/>
    <mergeCell ref="C427:O427"/>
    <mergeCell ref="C482:D482"/>
    <mergeCell ref="H482:I482"/>
    <mergeCell ref="B455:D455"/>
    <mergeCell ref="H481:I481"/>
    <mergeCell ref="G430:O430"/>
    <mergeCell ref="E462:F462"/>
    <mergeCell ref="F481:G481"/>
    <mergeCell ref="B447:O447"/>
    <mergeCell ref="B445:O445"/>
    <mergeCell ref="G468:I468"/>
    <mergeCell ref="L448:O448"/>
    <mergeCell ref="B459:D459"/>
    <mergeCell ref="B457:D457"/>
    <mergeCell ref="G431:O431"/>
    <mergeCell ref="C425:O425"/>
    <mergeCell ref="J455:K455"/>
    <mergeCell ref="B474:P474"/>
    <mergeCell ref="F479:G479"/>
    <mergeCell ref="H479:I479"/>
    <mergeCell ref="C478:D478"/>
    <mergeCell ref="B413:B416"/>
    <mergeCell ref="B420:M420"/>
    <mergeCell ref="H480:I480"/>
    <mergeCell ref="C426:O426"/>
    <mergeCell ref="E433:F433"/>
    <mergeCell ref="E454:F454"/>
    <mergeCell ref="E432:F432"/>
    <mergeCell ref="B422:O422"/>
    <mergeCell ref="B3:P3"/>
    <mergeCell ref="C16:D16"/>
    <mergeCell ref="C54:D54"/>
    <mergeCell ref="J54:K54"/>
    <mergeCell ref="E54:F54"/>
    <mergeCell ref="B47:P47"/>
    <mergeCell ref="B46:O46"/>
    <mergeCell ref="B43:P43"/>
    <mergeCell ref="B45:P45"/>
    <mergeCell ref="B44:P44"/>
    <mergeCell ref="B48:O48"/>
    <mergeCell ref="L49:N49"/>
    <mergeCell ref="L50:N50"/>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L4:M4"/>
    <mergeCell ref="C4:D4"/>
    <mergeCell ref="C400:N400"/>
    <mergeCell ref="C404:O404"/>
    <mergeCell ref="B5:P5"/>
    <mergeCell ref="B42:P42"/>
    <mergeCell ref="B38:D38"/>
    <mergeCell ref="B6:P6"/>
    <mergeCell ref="E38:F38"/>
    <mergeCell ref="G52:K52"/>
    <mergeCell ref="G17:O17"/>
    <mergeCell ref="C15:K15"/>
    <mergeCell ref="P236:P237"/>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E80:F80"/>
    <mergeCell ref="G72:K72"/>
    <mergeCell ref="E4:F4"/>
    <mergeCell ref="G4:I4"/>
    <mergeCell ref="B243:F243"/>
    <mergeCell ref="G260:O260"/>
    <mergeCell ref="E260:F260"/>
    <mergeCell ref="B250:E250"/>
    <mergeCell ref="C247:O247"/>
    <mergeCell ref="E258:F258"/>
    <mergeCell ref="G243:O243"/>
    <mergeCell ref="B246:O246"/>
    <mergeCell ref="B251:O251"/>
    <mergeCell ref="B255:O255"/>
    <mergeCell ref="E225:F225"/>
    <mergeCell ref="L222:O222"/>
    <mergeCell ref="G221:K221"/>
    <mergeCell ref="L15:N15"/>
    <mergeCell ref="C223:D223"/>
    <mergeCell ref="C183:N183"/>
    <mergeCell ref="E177:F177"/>
    <mergeCell ref="G177:O177"/>
    <mergeCell ref="L152:O152"/>
    <mergeCell ref="G258:O258"/>
    <mergeCell ref="G157:I157"/>
    <mergeCell ref="J157:K157"/>
    <mergeCell ref="B113:D113"/>
    <mergeCell ref="E55:F55"/>
    <mergeCell ref="E222:F222"/>
    <mergeCell ref="H217:O217"/>
    <mergeCell ref="J12:K12"/>
    <mergeCell ref="C57:D57"/>
    <mergeCell ref="B196:D196"/>
    <mergeCell ref="G197:I197"/>
    <mergeCell ref="B237:O237"/>
    <mergeCell ref="B209:E212"/>
    <mergeCell ref="F212:G212"/>
    <mergeCell ref="H210:O210"/>
    <mergeCell ref="B213:O213"/>
    <mergeCell ref="H211:O211"/>
    <mergeCell ref="E197:F197"/>
    <mergeCell ref="C238:N238"/>
    <mergeCell ref="B236:O236"/>
    <mergeCell ref="J224:K224"/>
    <mergeCell ref="G223:O223"/>
    <mergeCell ref="C224:D224"/>
    <mergeCell ref="G231:O231"/>
    <mergeCell ref="B240:O240"/>
    <mergeCell ref="G242:O242"/>
    <mergeCell ref="C239:N239"/>
    <mergeCell ref="L224:O224"/>
    <mergeCell ref="C228:D228"/>
    <mergeCell ref="G228:I228"/>
    <mergeCell ref="F210:G210"/>
    <mergeCell ref="H212:O212"/>
    <mergeCell ref="F215:G215"/>
    <mergeCell ref="B207:O207"/>
    <mergeCell ref="J230:K230"/>
    <mergeCell ref="E230:F230"/>
    <mergeCell ref="L197:O200"/>
    <mergeCell ref="B201:O201"/>
    <mergeCell ref="E229:F229"/>
    <mergeCell ref="B203:O203"/>
    <mergeCell ref="B204:P204"/>
    <mergeCell ref="P192:P201"/>
    <mergeCell ref="G192:K192"/>
    <mergeCell ref="G248:O248"/>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B206:O206"/>
    <mergeCell ref="G198:I198"/>
    <mergeCell ref="B193:D193"/>
    <mergeCell ref="G193:I193"/>
    <mergeCell ref="J193:K193"/>
    <mergeCell ref="C182:N182"/>
    <mergeCell ref="E188:O188"/>
    <mergeCell ref="C188:D188"/>
    <mergeCell ref="F211:G211"/>
    <mergeCell ref="C150:D150"/>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L136:O136"/>
    <mergeCell ref="B145:O145"/>
    <mergeCell ref="L174:O174"/>
    <mergeCell ref="C174:D174"/>
    <mergeCell ref="J174:K174"/>
    <mergeCell ref="B167:P167"/>
    <mergeCell ref="G158:I158"/>
    <mergeCell ref="C172:F172"/>
    <mergeCell ref="G172:K172"/>
    <mergeCell ref="B158:D158"/>
    <mergeCell ref="B154:D154"/>
    <mergeCell ref="E154:F154"/>
    <mergeCell ref="L173:O173"/>
    <mergeCell ref="E173:F173"/>
    <mergeCell ref="E174:F174"/>
    <mergeCell ref="L172:O172"/>
    <mergeCell ref="B164:P164"/>
    <mergeCell ref="G174:I174"/>
    <mergeCell ref="B155:D155"/>
    <mergeCell ref="J160:K160"/>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B116:D116"/>
    <mergeCell ref="B118:D118"/>
    <mergeCell ref="J119:K119"/>
    <mergeCell ref="B126:O126"/>
    <mergeCell ref="B127:P127"/>
    <mergeCell ref="L130:N130"/>
    <mergeCell ref="L129:N129"/>
    <mergeCell ref="L134:O134"/>
    <mergeCell ref="G134:I134"/>
    <mergeCell ref="C135:D135"/>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C70:D70"/>
    <mergeCell ref="E70:O70"/>
    <mergeCell ref="J77:K77"/>
    <mergeCell ref="B78:D78"/>
    <mergeCell ref="B80:D80"/>
    <mergeCell ref="G77:I77"/>
    <mergeCell ref="B84:P84"/>
    <mergeCell ref="E73:F73"/>
    <mergeCell ref="B74:D74"/>
    <mergeCell ref="E74:F74"/>
    <mergeCell ref="B75:D75"/>
    <mergeCell ref="J73:K73"/>
    <mergeCell ref="P88:P98"/>
    <mergeCell ref="L93:O93"/>
    <mergeCell ref="C97:D97"/>
    <mergeCell ref="C95:D95"/>
    <mergeCell ref="G96:I96"/>
    <mergeCell ref="E97:F97"/>
    <mergeCell ref="G97:O97"/>
    <mergeCell ref="G93:I93"/>
    <mergeCell ref="E75:F75"/>
    <mergeCell ref="B77:D77"/>
    <mergeCell ref="G80:I80"/>
    <mergeCell ref="E17:F17"/>
    <mergeCell ref="E31:O31"/>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J75:K75"/>
    <mergeCell ref="E78:F78"/>
    <mergeCell ref="G78:I78"/>
    <mergeCell ref="J18:K18"/>
    <mergeCell ref="L73:O74"/>
    <mergeCell ref="C63:N63"/>
    <mergeCell ref="B64:O64"/>
    <mergeCell ref="C62:N62"/>
    <mergeCell ref="B83:P83"/>
    <mergeCell ref="B79:D79"/>
    <mergeCell ref="L89:N89"/>
    <mergeCell ref="L90:N90"/>
    <mergeCell ref="C69:D69"/>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C19:D1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J34:K34"/>
    <mergeCell ref="L35:O36"/>
    <mergeCell ref="B34:D34"/>
    <mergeCell ref="E40:F40"/>
    <mergeCell ref="G40:I40"/>
    <mergeCell ref="J40:K40"/>
    <mergeCell ref="E39:F39"/>
    <mergeCell ref="R89:R90"/>
    <mergeCell ref="T85:T86"/>
    <mergeCell ref="B86:O86"/>
    <mergeCell ref="B87:P87"/>
    <mergeCell ref="B85:P85"/>
    <mergeCell ref="B81:O81"/>
    <mergeCell ref="C110:D110"/>
    <mergeCell ref="B111:O111"/>
    <mergeCell ref="E119:F119"/>
    <mergeCell ref="E108:O108"/>
    <mergeCell ref="J120:K120"/>
    <mergeCell ref="C108:D108"/>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B372:O372"/>
    <mergeCell ref="G367:I367"/>
    <mergeCell ref="E345:F345"/>
    <mergeCell ref="J343:K343"/>
    <mergeCell ref="P270:P275"/>
    <mergeCell ref="F312:L312"/>
    <mergeCell ref="G348:I348"/>
    <mergeCell ref="E349:F349"/>
    <mergeCell ref="B348:D348"/>
    <mergeCell ref="E348:F348"/>
    <mergeCell ref="F316:L316"/>
    <mergeCell ref="F299:O299"/>
    <mergeCell ref="L270:M270"/>
    <mergeCell ref="L347:O352"/>
    <mergeCell ref="J364:K364"/>
    <mergeCell ref="B359:D359"/>
    <mergeCell ref="L341:O341"/>
    <mergeCell ref="J346:K346"/>
    <mergeCell ref="J342:K342"/>
    <mergeCell ref="G341:K341"/>
    <mergeCell ref="N306:P306"/>
    <mergeCell ref="B342:D342"/>
    <mergeCell ref="B329:D329"/>
    <mergeCell ref="E342:F342"/>
    <mergeCell ref="B336:D336"/>
    <mergeCell ref="F310:L310"/>
    <mergeCell ref="F315:L315"/>
    <mergeCell ref="B337:O337"/>
    <mergeCell ref="P382:P387"/>
    <mergeCell ref="C385:D385"/>
    <mergeCell ref="L362:O367"/>
    <mergeCell ref="E346:F346"/>
    <mergeCell ref="G378:O378"/>
    <mergeCell ref="E356:F356"/>
    <mergeCell ref="E363:F363"/>
    <mergeCell ref="J361:K361"/>
    <mergeCell ref="J353:K353"/>
    <mergeCell ref="B361:D361"/>
    <mergeCell ref="G358:I358"/>
    <mergeCell ref="G356:I356"/>
    <mergeCell ref="E357:F357"/>
    <mergeCell ref="E360:F360"/>
    <mergeCell ref="J367:K367"/>
    <mergeCell ref="C379:D379"/>
    <mergeCell ref="J379:K379"/>
    <mergeCell ref="J383:K383"/>
    <mergeCell ref="E377:F377"/>
    <mergeCell ref="E378:F378"/>
    <mergeCell ref="B375:O375"/>
    <mergeCell ref="B373:O373"/>
    <mergeCell ref="P375:P380"/>
    <mergeCell ref="J377:K377"/>
    <mergeCell ref="L377:O377"/>
    <mergeCell ref="G380:O380"/>
    <mergeCell ref="G376:K376"/>
    <mergeCell ref="L379:O379"/>
    <mergeCell ref="J358:K358"/>
    <mergeCell ref="B362:D362"/>
    <mergeCell ref="J359:K359"/>
    <mergeCell ref="G360:I360"/>
    <mergeCell ref="Z253:AB253"/>
    <mergeCell ref="B293:D302"/>
    <mergeCell ref="B281:D285"/>
    <mergeCell ref="F330:L330"/>
    <mergeCell ref="F326:L326"/>
    <mergeCell ref="F327:L327"/>
    <mergeCell ref="F323:L323"/>
    <mergeCell ref="B328:O328"/>
    <mergeCell ref="C272:E272"/>
    <mergeCell ref="B286:L286"/>
    <mergeCell ref="L272:M272"/>
    <mergeCell ref="F272:K272"/>
    <mergeCell ref="C271:E271"/>
    <mergeCell ref="E358:F358"/>
    <mergeCell ref="B307:M307"/>
    <mergeCell ref="B306:M306"/>
    <mergeCell ref="F313:L313"/>
    <mergeCell ref="G357:I357"/>
    <mergeCell ref="J347:K347"/>
    <mergeCell ref="B351:D351"/>
    <mergeCell ref="E355:F355"/>
    <mergeCell ref="E354:F354"/>
    <mergeCell ref="E352:F352"/>
    <mergeCell ref="J352:K352"/>
    <mergeCell ref="E353:F353"/>
    <mergeCell ref="AA295:AB295"/>
    <mergeCell ref="G263:O263"/>
    <mergeCell ref="F332:L332"/>
    <mergeCell ref="L342:O346"/>
    <mergeCell ref="F331:L331"/>
    <mergeCell ref="G342:I342"/>
    <mergeCell ref="F336:L336"/>
    <mergeCell ref="AJ411:AN411"/>
    <mergeCell ref="B406:O406"/>
    <mergeCell ref="J386:K386"/>
    <mergeCell ref="G385:I385"/>
    <mergeCell ref="C397:N397"/>
    <mergeCell ref="C392:O392"/>
    <mergeCell ref="F319:L319"/>
    <mergeCell ref="B408:P408"/>
    <mergeCell ref="P394:P395"/>
    <mergeCell ref="B388:O388"/>
    <mergeCell ref="B390:O390"/>
    <mergeCell ref="P390:P391"/>
    <mergeCell ref="C387:D387"/>
    <mergeCell ref="G387:I387"/>
    <mergeCell ref="E387:F387"/>
    <mergeCell ref="G379:I379"/>
    <mergeCell ref="G366:I366"/>
    <mergeCell ref="E386:F386"/>
    <mergeCell ref="L386:O386"/>
    <mergeCell ref="L353:O358"/>
    <mergeCell ref="G349:I349"/>
    <mergeCell ref="J355:K355"/>
    <mergeCell ref="B374:O374"/>
    <mergeCell ref="B358:D358"/>
    <mergeCell ref="B356:D356"/>
    <mergeCell ref="B341:F341"/>
    <mergeCell ref="C382:D382"/>
    <mergeCell ref="B369:P369"/>
    <mergeCell ref="C380:D380"/>
    <mergeCell ref="J385:K385"/>
    <mergeCell ref="J382:K382"/>
    <mergeCell ref="J344:K344"/>
    <mergeCell ref="C376:F376"/>
    <mergeCell ref="L376:O376"/>
    <mergeCell ref="B381:G381"/>
    <mergeCell ref="E382:F382"/>
    <mergeCell ref="L382:O382"/>
    <mergeCell ref="L383:O383"/>
    <mergeCell ref="B355:D355"/>
    <mergeCell ref="G377:I377"/>
    <mergeCell ref="B253:M253"/>
    <mergeCell ref="F298:L298"/>
    <mergeCell ref="N274:O274"/>
    <mergeCell ref="B268:O268"/>
    <mergeCell ref="B266:O266"/>
    <mergeCell ref="B265:O265"/>
    <mergeCell ref="F309:L309"/>
    <mergeCell ref="G345:I345"/>
    <mergeCell ref="J345:K345"/>
    <mergeCell ref="E380:F380"/>
    <mergeCell ref="E351:F351"/>
    <mergeCell ref="B366:D366"/>
    <mergeCell ref="E364:F364"/>
    <mergeCell ref="F329:L329"/>
    <mergeCell ref="B335:O335"/>
    <mergeCell ref="F300:L300"/>
    <mergeCell ref="F301:L301"/>
    <mergeCell ref="L273:M273"/>
    <mergeCell ref="F311:L311"/>
    <mergeCell ref="F334:L334"/>
    <mergeCell ref="E366:F366"/>
    <mergeCell ref="J360:K360"/>
    <mergeCell ref="G354:I354"/>
    <mergeCell ref="B370:P370"/>
    <mergeCell ref="G471:I471"/>
    <mergeCell ref="P397:P400"/>
    <mergeCell ref="F294:L294"/>
    <mergeCell ref="E365:F365"/>
    <mergeCell ref="B363:D363"/>
    <mergeCell ref="B423:O423"/>
    <mergeCell ref="J365:K365"/>
    <mergeCell ref="B367:D367"/>
    <mergeCell ref="J363:K363"/>
    <mergeCell ref="G364:I364"/>
    <mergeCell ref="B365:D365"/>
    <mergeCell ref="F317:L317"/>
    <mergeCell ref="F318:O318"/>
    <mergeCell ref="E344:F344"/>
    <mergeCell ref="G365:I365"/>
    <mergeCell ref="D418:O418"/>
    <mergeCell ref="B389:O389"/>
    <mergeCell ref="F302:L302"/>
    <mergeCell ref="B338:O338"/>
    <mergeCell ref="E347:F347"/>
    <mergeCell ref="B332:D334"/>
    <mergeCell ref="F333:L333"/>
    <mergeCell ref="G350:I350"/>
    <mergeCell ref="J351:K351"/>
    <mergeCell ref="B352:D352"/>
    <mergeCell ref="E350:F350"/>
    <mergeCell ref="B350:D350"/>
    <mergeCell ref="F322:L322"/>
    <mergeCell ref="E361:F361"/>
    <mergeCell ref="E359:F359"/>
    <mergeCell ref="B357:D357"/>
    <mergeCell ref="B323:D327"/>
    <mergeCell ref="C102:N102"/>
    <mergeCell ref="L112:O112"/>
    <mergeCell ref="G114:I114"/>
    <mergeCell ref="C103:N103"/>
    <mergeCell ref="B104:O104"/>
    <mergeCell ref="E110:O110"/>
    <mergeCell ref="G115:I115"/>
    <mergeCell ref="G118:I118"/>
    <mergeCell ref="L77:O80"/>
    <mergeCell ref="G120:I120"/>
    <mergeCell ref="B105:O105"/>
    <mergeCell ref="E156:F156"/>
    <mergeCell ref="E113:F113"/>
    <mergeCell ref="B303:O303"/>
    <mergeCell ref="F324:L324"/>
    <mergeCell ref="B279:L279"/>
    <mergeCell ref="C275:O275"/>
    <mergeCell ref="N267:O267"/>
    <mergeCell ref="B304:P304"/>
    <mergeCell ref="F296:L296"/>
    <mergeCell ref="F314:L314"/>
    <mergeCell ref="N270:O270"/>
    <mergeCell ref="F289:L289"/>
    <mergeCell ref="B280:L280"/>
    <mergeCell ref="B267:M267"/>
    <mergeCell ref="F290:L290"/>
    <mergeCell ref="E263:F263"/>
    <mergeCell ref="N254:O254"/>
    <mergeCell ref="B254:M254"/>
    <mergeCell ref="E259:F259"/>
    <mergeCell ref="G261:O261"/>
    <mergeCell ref="F288:L288"/>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B65:O65"/>
    <mergeCell ref="G112:K112"/>
    <mergeCell ref="E68:O68"/>
    <mergeCell ref="B71:O71"/>
    <mergeCell ref="C68:D68"/>
    <mergeCell ref="G16:I16"/>
    <mergeCell ref="G18:I18"/>
    <mergeCell ref="G75:I75"/>
    <mergeCell ref="B101:O101"/>
    <mergeCell ref="C109:D109"/>
    <mergeCell ref="B112:F112"/>
    <mergeCell ref="G33:K33"/>
    <mergeCell ref="C52:F52"/>
    <mergeCell ref="J74:K74"/>
    <mergeCell ref="J113:K113"/>
    <mergeCell ref="S61:U61"/>
    <mergeCell ref="R66:S66"/>
    <mergeCell ref="J460:K460"/>
    <mergeCell ref="G461:I461"/>
    <mergeCell ref="J468:K468"/>
    <mergeCell ref="G469:I469"/>
    <mergeCell ref="J469:K469"/>
    <mergeCell ref="L446:M446"/>
    <mergeCell ref="N446:O446"/>
    <mergeCell ref="J362:K362"/>
    <mergeCell ref="G359:I359"/>
    <mergeCell ref="J366:K366"/>
    <mergeCell ref="J354:K354"/>
    <mergeCell ref="J356:K356"/>
    <mergeCell ref="B394:O394"/>
    <mergeCell ref="B401:I401"/>
    <mergeCell ref="B403:O403"/>
    <mergeCell ref="B395:O395"/>
    <mergeCell ref="G448:K448"/>
    <mergeCell ref="L384:O384"/>
    <mergeCell ref="B405:O405"/>
    <mergeCell ref="E431:F431"/>
    <mergeCell ref="J462:K462"/>
    <mergeCell ref="G455:I455"/>
    <mergeCell ref="J357:K357"/>
    <mergeCell ref="E459:F459"/>
    <mergeCell ref="B429:O429"/>
    <mergeCell ref="E436:F436"/>
    <mergeCell ref="B409:P409"/>
    <mergeCell ref="J158:K158"/>
    <mergeCell ref="E137:F137"/>
    <mergeCell ref="G137:O137"/>
    <mergeCell ref="J453:K453"/>
    <mergeCell ref="J452:K452"/>
    <mergeCell ref="E430:F430"/>
    <mergeCell ref="E114:F114"/>
    <mergeCell ref="B264:O264"/>
    <mergeCell ref="E343:F343"/>
    <mergeCell ref="G343:I343"/>
    <mergeCell ref="G355:I355"/>
    <mergeCell ref="F325:L325"/>
    <mergeCell ref="B340:P340"/>
    <mergeCell ref="B117:D117"/>
    <mergeCell ref="E117:F117"/>
    <mergeCell ref="B354:D354"/>
    <mergeCell ref="B353:D353"/>
    <mergeCell ref="G384:I384"/>
    <mergeCell ref="G363:I363"/>
    <mergeCell ref="G346:I346"/>
    <mergeCell ref="G347:I347"/>
    <mergeCell ref="B349:D349"/>
    <mergeCell ref="J115:K115"/>
    <mergeCell ref="G344:I344"/>
    <mergeCell ref="L132:O132"/>
    <mergeCell ref="J156:K156"/>
    <mergeCell ref="G155:I155"/>
    <mergeCell ref="B153:D153"/>
    <mergeCell ref="G152:K152"/>
    <mergeCell ref="G351:I351"/>
    <mergeCell ref="B269:O269"/>
    <mergeCell ref="N273:O273"/>
    <mergeCell ref="N272:O272"/>
    <mergeCell ref="B277:P277"/>
    <mergeCell ref="M279:M280"/>
    <mergeCell ref="G194:I194"/>
    <mergeCell ref="H250:O250"/>
    <mergeCell ref="B252:O252"/>
    <mergeCell ref="P341:P368"/>
    <mergeCell ref="G352:I352"/>
    <mergeCell ref="B339:P339"/>
    <mergeCell ref="B371:O371"/>
    <mergeCell ref="E199:F199"/>
    <mergeCell ref="J349:K349"/>
    <mergeCell ref="P112:P121"/>
    <mergeCell ref="J159:K159"/>
    <mergeCell ref="F273:K273"/>
    <mergeCell ref="B276:O276"/>
    <mergeCell ref="F283:L283"/>
    <mergeCell ref="B305:P305"/>
    <mergeCell ref="F291:L291"/>
    <mergeCell ref="E116:F116"/>
    <mergeCell ref="N292:O292"/>
    <mergeCell ref="F284:L284"/>
    <mergeCell ref="F281:L281"/>
    <mergeCell ref="C273:E273"/>
    <mergeCell ref="F293:L293"/>
    <mergeCell ref="F295:L295"/>
    <mergeCell ref="C274:E274"/>
    <mergeCell ref="B321:D322"/>
    <mergeCell ref="B320:O320"/>
    <mergeCell ref="F321:L321"/>
    <mergeCell ref="L274:M274"/>
    <mergeCell ref="J118:K118"/>
    <mergeCell ref="G116:I116"/>
    <mergeCell ref="B125:P125"/>
    <mergeCell ref="J116:K116"/>
    <mergeCell ref="C378:D378"/>
    <mergeCell ref="B368:O368"/>
    <mergeCell ref="E362:F362"/>
    <mergeCell ref="P430:P436"/>
    <mergeCell ref="B391:O391"/>
    <mergeCell ref="B115:D115"/>
    <mergeCell ref="W377:X377"/>
    <mergeCell ref="E367:F367"/>
    <mergeCell ref="P448:P472"/>
    <mergeCell ref="G117:I117"/>
    <mergeCell ref="J117:K117"/>
    <mergeCell ref="B331:D331"/>
    <mergeCell ref="B330:D330"/>
    <mergeCell ref="F308:L308"/>
    <mergeCell ref="N271:O271"/>
    <mergeCell ref="L271:M271"/>
    <mergeCell ref="C270:E270"/>
    <mergeCell ref="N279:P279"/>
    <mergeCell ref="B278:P278"/>
    <mergeCell ref="F271:K271"/>
    <mergeCell ref="F274:K274"/>
    <mergeCell ref="F297:L297"/>
    <mergeCell ref="J350:K350"/>
    <mergeCell ref="G361:I361"/>
    <mergeCell ref="F208:G208"/>
    <mergeCell ref="G464:I464"/>
    <mergeCell ref="J461:K461"/>
    <mergeCell ref="J451:K451"/>
    <mergeCell ref="J459:K459"/>
    <mergeCell ref="E463:F463"/>
    <mergeCell ref="J457:K457"/>
    <mergeCell ref="B208:E208"/>
    <mergeCell ref="B504:D506"/>
    <mergeCell ref="C507:D507"/>
    <mergeCell ref="R420:R421"/>
    <mergeCell ref="AA296:AB296"/>
    <mergeCell ref="AA297:AB297"/>
    <mergeCell ref="V376:Y376"/>
    <mergeCell ref="E468:F468"/>
    <mergeCell ref="E467:F467"/>
    <mergeCell ref="E465:F465"/>
    <mergeCell ref="E466:F466"/>
    <mergeCell ref="B466:D466"/>
    <mergeCell ref="G353:I353"/>
    <mergeCell ref="Y446:Z446"/>
    <mergeCell ref="G462:I462"/>
    <mergeCell ref="P257:P263"/>
    <mergeCell ref="H208:O208"/>
    <mergeCell ref="W458:W460"/>
    <mergeCell ref="F287:L287"/>
    <mergeCell ref="F285:L285"/>
    <mergeCell ref="J348:K348"/>
    <mergeCell ref="B444:O444"/>
    <mergeCell ref="B411:B412"/>
    <mergeCell ref="G457:I457"/>
    <mergeCell ref="G362:I362"/>
    <mergeCell ref="C412:O412"/>
    <mergeCell ref="B364:D364"/>
    <mergeCell ref="E383:F383"/>
    <mergeCell ref="G382:I382"/>
    <mergeCell ref="C399:N399"/>
    <mergeCell ref="C384:D384"/>
    <mergeCell ref="G383:I383"/>
    <mergeCell ref="C383:D383"/>
    <mergeCell ref="B428:O428"/>
    <mergeCell ref="G458:I458"/>
    <mergeCell ref="B393:O393"/>
    <mergeCell ref="B402:O402"/>
    <mergeCell ref="G434:O434"/>
    <mergeCell ref="E457:F457"/>
    <mergeCell ref="Y52:AA52"/>
    <mergeCell ref="Y92:AA92"/>
    <mergeCell ref="K98:N98"/>
    <mergeCell ref="K99:O99"/>
    <mergeCell ref="E98:J99"/>
    <mergeCell ref="C99:D99"/>
    <mergeCell ref="Y11:AB11"/>
    <mergeCell ref="K20:N20"/>
    <mergeCell ref="K21:O21"/>
    <mergeCell ref="E20:J21"/>
    <mergeCell ref="C21:D21"/>
    <mergeCell ref="G156:I156"/>
    <mergeCell ref="E384:F384"/>
    <mergeCell ref="E379:F379"/>
    <mergeCell ref="J387:K387"/>
    <mergeCell ref="C386:D386"/>
    <mergeCell ref="C398:N398"/>
    <mergeCell ref="G386:I386"/>
    <mergeCell ref="L387:O387"/>
    <mergeCell ref="L385:O385"/>
    <mergeCell ref="E385:F385"/>
    <mergeCell ref="J384:K384"/>
    <mergeCell ref="B419:O419"/>
    <mergeCell ref="D417:O417"/>
    <mergeCell ref="B410:O410"/>
    <mergeCell ref="C411:O411"/>
  </mergeCells>
  <phoneticPr fontId="0" type="noConversion"/>
  <conditionalFormatting sqref="J450:K450">
    <cfRule type="cellIs" dxfId="17" priority="138" stopIfTrue="1" operator="lessThan">
      <formula>$Y$449</formula>
    </cfRule>
  </conditionalFormatting>
  <dataValidations xWindow="789" yWindow="454" count="112">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$B$512:$B$553</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$B$512:$B$553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$B$512:$B$543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$B$512:$B$543</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$B$512:$B$553</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$B$512:$B$553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$B$512:$B$543</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$B$512:$B$553</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$B$512:$B$543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$B$512:$B$563</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$B$512:$B$563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$B$512:$B$543</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$B$512:$B$553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$B$512:$B$543</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$B$512:$B$553</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$B$512:$B$553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$B$512:$B$543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$B$512:$B$543</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$B$512:$B$543</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$B$512:$B$543</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$B$512:$B$533</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$B$512:$B$533</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$B$512:$B$533</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$B$512:$B$533</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$B$512:$B$553</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$B$512:$B$553</formula1>
    </dataValidation>
    <dataValidation type="list" allowBlank="1" showInputMessage="1" showErrorMessage="1" promptTitle="Sensation loss" prompt="Select partial or total. Partial is part of the foot. Total means the entire foot." sqref="C238:N238" xr:uid="{00000000-0002-0000-0600-000033000000}">
      <formula1>$S$238:$U$238</formula1>
    </dataValidation>
    <dataValidation type="list" allowBlank="1" showInputMessage="1" showErrorMessage="1" promptTitle="Hypersensitivity" prompt="Select partial or total. Partial is part of the foot. Total means the entire foot." sqref="C239:N239" xr:uid="{00000000-0002-0000-0600-000034000000}">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00000000-0002-0000-0600-000035000000}">
      <formula1>$S$242:$V$242</formula1>
    </dataValidation>
    <dataValidation type="list" showInputMessage="1" showErrorMessage="1" promptTitle="Knee flexion" prompt="Enter retained degrees of motion, flexion. If joint was not affected by the injury, select &quot;NA&quot; or leave blank." sqref="C377:D377" xr:uid="{00000000-0002-0000-0600-000036000000}">
      <formula1>$B$512:$B$663</formula1>
    </dataValidation>
    <dataValidation type="list" showInputMessage="1" showErrorMessage="1" promptTitle="Knee" prompt="Enter degrees of flexion ankylosis. If joint was not affected by the injury, select &quot;NA&quot; or leave blank." sqref="C378:D378" xr:uid="{00000000-0002-0000-0600-000037000000}">
      <formula1>$B$512:$B$663</formula1>
    </dataValidation>
    <dataValidation type="list" showInputMessage="1" showErrorMessage="1" promptTitle="Knee extension" prompt="Enter retained degrees of motion, extension. If joint was not affected by the injury, select &quot;NA&quot; or leave blank." sqref="C379:D379" xr:uid="{00000000-0002-0000-0600-000038000000}">
      <formula1>$B$512:$B$663</formula1>
    </dataValidation>
    <dataValidation type="list" showInputMessage="1" showErrorMessage="1" promptTitle="Knee" prompt="Enter degrees of extension ankylosis. If joint was not affected by the injury, select &quot;NA&quot; or leave blank. " sqref="C380:D380" xr:uid="{00000000-0002-0000-0600-000039000000}">
      <formula1>$B$512:$B$663</formula1>
    </dataValidation>
    <dataValidation type="list" showInputMessage="1" showErrorMessage="1" promptTitle="Hip forward flexion" prompt="Enter retained degrees of motion, forward flexion. If joint was not affected by the injury, select &quot;NA&quot; or leave blank." sqref="C382:D382" xr:uid="{00000000-0002-0000-0600-00003A000000}">
      <formula1>$B$512:$B$613</formula1>
    </dataValidation>
    <dataValidation type="list" showInputMessage="1" showErrorMessage="1" promptTitle="Hip backward extension" prompt="Enter retained degrees of motion, backward extension. If joint was not affected by the injury, select &quot;NA&quot; or leave blank." sqref="C383:D383" xr:uid="{00000000-0002-0000-0600-00003B000000}">
      <formula1>$B$512:$B$543</formula1>
    </dataValidation>
    <dataValidation type="list" showInputMessage="1" showErrorMessage="1" promptTitle="Hip abduction" prompt="Enter retained degrees of motion, abduction. If joint was not affected by the injury, select &quot;NA&quot; or leave blank." sqref="C384:D384" xr:uid="{00000000-0002-0000-0600-00003C000000}">
      <formula1>$B$512:$B$553</formula1>
    </dataValidation>
    <dataValidation type="list" showInputMessage="1" showErrorMessage="1" promptTitle="Hip adduction" prompt="Enter retained degrees of motion, adduction. If joint was not affected by the injury, select &quot;NA&quot; or leave blank." sqref="C385:D385" xr:uid="{00000000-0002-0000-0600-00003D000000}">
      <formula1>$B$512:$B$533</formula1>
    </dataValidation>
    <dataValidation type="list" showInputMessage="1" showErrorMessage="1" promptTitle="Hip, internal rotation" prompt="Enter retained degrees of motion, internal rotation. If joint was not affected by the injury, select &quot;NA&quot; or leave blank." sqref="C386:D386" xr:uid="{00000000-0002-0000-0600-00003E000000}">
      <formula1>$B$512:$B$553</formula1>
    </dataValidation>
    <dataValidation type="list" showInputMessage="1" showErrorMessage="1" promptTitle="Hip, external rotation" prompt="Enter retained degrees of motion, external rotation. If joint was not affected by the injury, select &quot;NA&quot; or leave blank." sqref="C387:D387" xr:uid="{00000000-0002-0000-0600-00003F000000}">
      <formula1>$B$512:$B$563</formula1>
    </dataValidation>
    <dataValidation type="list" allowBlank="1" showInputMessage="1" showErrorMessage="1" promptTitle="Knee joint instability" prompt="Select severity of the joint opening." sqref="C397:N400" xr:uid="{00000000-0002-0000-0600-000041000000}">
      <formula1>$S$395:$V$395</formula1>
    </dataValidation>
    <dataValidation type="list" allowBlank="1" showInputMessage="1" showErrorMessage="1" promptTitle="Tibial shaft fracture" prompt="Select severity of malalignment (rotational deformity) resulting from the tibial shaft fracture." sqref="C407:O407" xr:uid="{00000000-0002-0000-0600-000042000000}">
      <formula1>$S$406:$AM$406</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00000000-0002-0000-0600-000044000000}">
      <formula1>$R$410:$W$410</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7" xr:uid="{00000000-0002-0000-0600-00004A000000}">
      <formula1>W247</formula1>
    </dataValidation>
    <dataValidation type="decimal" operator="equal" allowBlank="1" showInputMessage="1" showErrorMessage="1" promptTitle="Rocker bottom deformity" prompt="Check (click) the box if the worker has rocker bottom deformity of the foot." sqref="A248" xr:uid="{00000000-0002-0000-0600-00004B000000}">
      <formula1>W248</formula1>
    </dataValidation>
    <dataValidation type="decimal" operator="equal" allowBlank="1" showInputMessage="1" showErrorMessage="1" promptTitle="Skin loss - heel" prompt="Check (click) &quot;Yes&quot; if the worker suffered full thickness skin loss of the heel." sqref="A254" xr:uid="{00000000-0002-0000-0600-00004C000000}">
      <formula1>W254</formula1>
    </dataValidation>
    <dataValidation type="decimal" operator="equal" allowBlank="1" showInputMessage="1" showErrorMessage="1" promptTitle="Additional foot loss" prompt="Check (click) the boxes that describe the worker's condition, if any." sqref="A257" xr:uid="{00000000-0002-0000-0600-00004D000000}">
      <formula1>W257</formula1>
    </dataValidation>
    <dataValidation type="decimal" operator="equal" allowBlank="1" showInputMessage="1" showErrorMessage="1" promptTitle="Chronic condition" prompt="Select &quot;Yes&quot; if the worker has a chronic condition as described in OAR 436-035-0019." sqref="A443 A267" xr:uid="{00000000-0002-0000-0600-00004E000000}">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00000000-0002-0000-0600-00004F000000}">
      <formula1>AK283</formula1>
    </dataValidation>
    <dataValidation type="decimal" operator="equal" allowBlank="1" showInputMessage="1" showErrorMessage="1" promptTitle="Amputation - Leg" prompt="Select the level of loss, if any." sqref="A373" xr:uid="{00000000-0002-0000-0600-000050000000}">
      <formula1>W373</formula1>
    </dataValidation>
    <dataValidation type="decimal" operator="equal" allowBlank="1" showInputMessage="1" showErrorMessage="1" promptTitle="Knee angulation or malalignment" prompt="Select varus or valgus deformity, if applicable." sqref="A404" xr:uid="{00000000-0002-0000-0600-000051000000}">
      <formula1>W404</formula1>
    </dataValidation>
    <dataValidation type="decimal" operator="equal" allowBlank="1" showInputMessage="1" showErrorMessage="1" promptTitle="Motor loss" prompt="Show severity of motor loss, if any, due to brain or spinal cord damage." sqref="A424" xr:uid="{00000000-0002-0000-0600-000052000000}">
      <formula1>W424</formula1>
    </dataValidation>
    <dataValidation type="decimal" operator="equal" allowBlank="1" showInputMessage="1" showErrorMessage="1" promptTitle="Additional leg impairment" prompt="Select the conditions, if any, affecting the leg." sqref="A431" xr:uid="{00000000-0002-0000-0600-000053000000}">
      <formula1>W431</formula1>
    </dataValidation>
    <dataValidation type="decimal" operator="equal" allowBlank="1" showInputMessage="1" showErrorMessage="1" promptTitle="Standing or walking limitation" prompt="Select &quot;Yes&quot; if the worker has the limitation described." sqref="A439" xr:uid="{00000000-0002-0000-0600-000054000000}">
      <formula1>W439</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7:A408" xr:uid="{00000000-0002-0000-0600-000057000000}">
      <formula1>W404</formula1>
    </dataValidation>
    <dataValidation type="decimal" operator="equal" allowBlank="1" showInputMessage="1" showErrorMessage="1" promptTitle="Leg surgery" prompt="Select the type and extent of surgery, if any." sqref="A411:A412" xr:uid="{00000000-0002-0000-0600-000058000000}">
      <formula1>W413</formula1>
    </dataValidation>
    <dataValidation type="decimal" operator="equal" allowBlank="1" showInputMessage="1" showErrorMessage="1" promptTitle="Ankle joint instability" prompt="Show extent of disability." sqref="A241" xr:uid="{00000000-0002-0000-0600-000059000000}">
      <formula1>W241</formula1>
    </dataValidation>
    <dataValidation type="decimal" operator="equal" allowBlank="1" showInputMessage="1" showErrorMessage="1" promptTitle="Ankle replacement" prompt="Check the box if the worker has had a prosthetic ankle replacement." sqref="A250" xr:uid="{00000000-0002-0000-0600-00005A000000}">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00000000-0002-0000-0600-00005B000000}">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00000000-0002-0000-0600-00005E000000}"/>
    <dataValidation allowBlank="1" showInputMessage="1" showErrorMessage="1" promptTitle="End of worksheet" prompt="Press TAB to return to top of sheet." sqref="P501"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$B$512:$B$543</formula1>
    </dataValidation>
    <dataValidation type="list" showInputMessage="1" showErrorMessage="1" promptTitle="Contralateral comparison" prompt="Enter retained degrees of motion or &quot;NA&quot; if contralateral joint has a history of injury or disease." sqref="G387:I387 G16:I16" xr:uid="{00000000-0002-0000-0600-000061000000}">
      <formula1>$B$512:$B$563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$B$512:$B$543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$B$512:$B$543</formula1>
    </dataValidation>
    <dataValidation type="decimal" allowBlank="1" showInputMessage="1" showErrorMessage="1" promptTitle="Apportionment (if any)" prompt="Enter percentage of impairment caused by the injury or illness. See OAR 436-035-0013." sqref="G362:I366 G195:G197 G155:G157 G354:G358 G36:G38 H356:I358 G453:I453 H195:I195 G75:G77 H155:I155 H115:I115 H354:I354 G464:I470 G115:G117 H36:I36 H75:I75 C233 G450:G451 H451:I451" xr:uid="{00000000-0002-0000-0600-000064000000}">
      <formula1>$B$507</formula1>
      <formula2>$C$507</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3:O253" xr:uid="{00000000-0002-0000-0600-000043000000}">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00000000-0002-0000-0600-00005C000000}">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00000000-0002-0000-0600-00005D000000}">
      <formula1>$S$278:$AH$278</formula1>
    </dataValidation>
    <dataValidation type="list" allowBlank="1" showInputMessage="1" showErrorMessage="1" promptTitle="Leg length discrepancy" prompt="Select extent of length change." sqref="C392" xr:uid="{00000000-0002-0000-0600-000040000000}">
      <formula1>$S$392:$W$392</formula1>
    </dataValidation>
    <dataValidation type="list" allowBlank="1" showInputMessage="1" showErrorMessage="1" promptTitle="Dermatological condition" prompt="Affecting leg -- select from classes 1-5. See OAR 436-035-0230." sqref="N420:O420" xr:uid="{00000000-0002-0000-0600-000045000000}">
      <formula1>$S$420:$W$420</formula1>
    </dataValidation>
    <dataValidation type="list" allowBlank="1" showInputMessage="1" showErrorMessage="1" promptTitle="Vascular dysfunction" prompt="Affecting leg -- select from classes 1-5. See OAR 436-035-0230." sqref="N421:O421" xr:uid="{00000000-0002-0000-0600-000046000000}">
      <formula1>$S$420:$W$420</formula1>
    </dataValidation>
    <dataValidation type="list" showInputMessage="1" showErrorMessage="1" promptTitle="Contralateral comparison" prompt="Enter retained degrees of motion or &quot;NA&quot; if contralateral joint has a history of injury or disease." sqref="G13:I13 G383:I383 G222:I222 G176:I176 G136:I136 G96:I96 G56:I56 G18:I18" xr:uid="{DB5EDFFA-35A2-437A-B115-8EEB7FBC3371}">
      <formula1>$B$512:$B$543</formula1>
    </dataValidation>
    <dataValidation type="list" showInputMessage="1" showErrorMessage="1" promptTitle="Contralateral comparison" prompt="Enter retained degrees of motion or &quot;NA&quot; if contralateral joint has a history of injury or disease." sqref="G54:I54 G386:I386 G384:I384 G230:I230 G174:I174 G134:I134 G94:I94" xr:uid="{4149F587-8E2E-49FA-A2DD-26200FAF1ED7}">
      <formula1>$B$512:$B$553</formula1>
    </dataValidation>
    <dataValidation type="list" showInputMessage="1" showErrorMessage="1" promptTitle="Contralateral comparison" prompt="Enter retained degrees of motion or &quot;NA&quot; if contralateral joint has a history of injury or disease." sqref="G224:I224 G385:I385 G228:I228" xr:uid="{B0D55EF7-A766-4931-82FD-43543AC3FA32}">
      <formula1>$B$512:$B$533</formula1>
    </dataValidation>
    <dataValidation type="list" showInputMessage="1" showErrorMessage="1" promptTitle="Contralateral comparison" prompt="Enter retained degrees of motion or &quot;NA&quot; if contralateral joint has a history of injury or disease." sqref="G377:I377 G379:I379" xr:uid="{F7DE39E7-09AE-4B85-9C60-FC8613184569}">
      <formula1>$B$512:$B$663</formula1>
    </dataValidation>
    <dataValidation type="list" showInputMessage="1" showErrorMessage="1" promptTitle="Contralateral comparison" prompt="Enter retained degrees of motion or &quot;NA&quot; if contralateral joint has a history of injury or disease." sqref="G382:I382" xr:uid="{8F27ED82-8452-4730-898A-B713028DD972}">
      <formula1>$B$512:$B$613</formula1>
    </dataValidation>
    <dataValidation type="decimal" allowBlank="1" showInputMessage="1" showErrorMessage="1" promptTitle="Apportionment, if any" prompt="Enter percentage of impairment caused by the injury or illness. See OAR 436-035-0013." sqref="C179:D179 C59:D59 C99:D99 C139:D139 C21:D21" xr:uid="{73238448-46BF-4381-9CFA-AA660EA5DD2C}">
      <formula1>$B$507</formula1>
      <formula2>$C$507</formula2>
    </dataValidation>
  </dataValidations>
  <hyperlinks>
    <hyperlink ref="N279:P279"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1" location="'Lower Extremity-Right'!A260" display="Leg strength" xr:uid="{00000000-0004-0000-0600-000009000000}"/>
    <hyperlink ref="B501" location="'Lower Extremity-Right'!A1" display="Return to top of sheet" xr:uid="{00000000-0004-0000-0600-00000A000000}"/>
    <hyperlink ref="H501:M501" location="'PPD DOI on or after 2005'!A1" display="'PPD DOI on or after 2005'!A1" xr:uid="{00000000-0004-0000-0600-00000B000000}"/>
    <hyperlink ref="C501:G501"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9" max="16383" man="1"/>
    <brk id="276" max="16383" man="1"/>
    <brk id="304" max="16383" man="1"/>
    <brk id="339" max="16383" man="1"/>
    <brk id="369" max="16383" man="1"/>
    <brk id="408" max="16383" man="1"/>
    <brk id="439"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282</xdr:row>
                    <xdr:rowOff>165100</xdr:rowOff>
                  </from>
                  <to>
                    <xdr:col>5</xdr:col>
                    <xdr:colOff>88900</xdr:colOff>
                    <xdr:row>284</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283</xdr:row>
                    <xdr:rowOff>171450</xdr:rowOff>
                  </from>
                  <to>
                    <xdr:col>5</xdr:col>
                    <xdr:colOff>88900</xdr:colOff>
                    <xdr:row>285</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286</xdr:row>
                    <xdr:rowOff>0</xdr:rowOff>
                  </from>
                  <to>
                    <xdr:col>5</xdr:col>
                    <xdr:colOff>88900</xdr:colOff>
                    <xdr:row>286</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286</xdr:row>
                    <xdr:rowOff>336550</xdr:rowOff>
                  </from>
                  <to>
                    <xdr:col>5</xdr:col>
                    <xdr:colOff>88900</xdr:colOff>
                    <xdr:row>288</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288</xdr:row>
                    <xdr:rowOff>165100</xdr:rowOff>
                  </from>
                  <to>
                    <xdr:col>5</xdr:col>
                    <xdr:colOff>88900</xdr:colOff>
                    <xdr:row>290</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289</xdr:row>
                    <xdr:rowOff>171450</xdr:rowOff>
                  </from>
                  <to>
                    <xdr:col>5</xdr:col>
                    <xdr:colOff>88900</xdr:colOff>
                    <xdr:row>291</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292</xdr:row>
                    <xdr:rowOff>12700</xdr:rowOff>
                  </from>
                  <to>
                    <xdr:col>5</xdr:col>
                    <xdr:colOff>88900</xdr:colOff>
                    <xdr:row>293</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292</xdr:row>
                    <xdr:rowOff>336550</xdr:rowOff>
                  </from>
                  <to>
                    <xdr:col>5</xdr:col>
                    <xdr:colOff>88900</xdr:colOff>
                    <xdr:row>294</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294</xdr:row>
                    <xdr:rowOff>165100</xdr:rowOff>
                  </from>
                  <to>
                    <xdr:col>5</xdr:col>
                    <xdr:colOff>88900</xdr:colOff>
                    <xdr:row>296</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299</xdr:row>
                    <xdr:rowOff>304800</xdr:rowOff>
                  </from>
                  <to>
                    <xdr:col>5</xdr:col>
                    <xdr:colOff>88900</xdr:colOff>
                    <xdr:row>301</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300</xdr:row>
                    <xdr:rowOff>171450</xdr:rowOff>
                  </from>
                  <to>
                    <xdr:col>5</xdr:col>
                    <xdr:colOff>88900</xdr:colOff>
                    <xdr:row>302</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307</xdr:row>
                    <xdr:rowOff>336550</xdr:rowOff>
                  </from>
                  <to>
                    <xdr:col>5</xdr:col>
                    <xdr:colOff>88900</xdr:colOff>
                    <xdr:row>309</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310</xdr:row>
                    <xdr:rowOff>165100</xdr:rowOff>
                  </from>
                  <to>
                    <xdr:col>5</xdr:col>
                    <xdr:colOff>88900</xdr:colOff>
                    <xdr:row>312</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311</xdr:row>
                    <xdr:rowOff>171450</xdr:rowOff>
                  </from>
                  <to>
                    <xdr:col>5</xdr:col>
                    <xdr:colOff>88900</xdr:colOff>
                    <xdr:row>313</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315</xdr:row>
                    <xdr:rowOff>171450</xdr:rowOff>
                  </from>
                  <to>
                    <xdr:col>5</xdr:col>
                    <xdr:colOff>88900</xdr:colOff>
                    <xdr:row>317</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317</xdr:row>
                    <xdr:rowOff>171450</xdr:rowOff>
                  </from>
                  <to>
                    <xdr:col>5</xdr:col>
                    <xdr:colOff>88900</xdr:colOff>
                    <xdr:row>319</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321</xdr:row>
                    <xdr:rowOff>0</xdr:rowOff>
                  </from>
                  <to>
                    <xdr:col>5</xdr:col>
                    <xdr:colOff>88900</xdr:colOff>
                    <xdr:row>322</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324</xdr:row>
                    <xdr:rowOff>12700</xdr:rowOff>
                  </from>
                  <to>
                    <xdr:col>5</xdr:col>
                    <xdr:colOff>88900</xdr:colOff>
                    <xdr:row>325</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325</xdr:row>
                    <xdr:rowOff>184150</xdr:rowOff>
                  </from>
                  <to>
                    <xdr:col>5</xdr:col>
                    <xdr:colOff>88900</xdr:colOff>
                    <xdr:row>327</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328</xdr:row>
                    <xdr:rowOff>323850</xdr:rowOff>
                  </from>
                  <to>
                    <xdr:col>5</xdr:col>
                    <xdr:colOff>88900</xdr:colOff>
                    <xdr:row>329</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329</xdr:row>
                    <xdr:rowOff>488950</xdr:rowOff>
                  </from>
                  <to>
                    <xdr:col>5</xdr:col>
                    <xdr:colOff>88900</xdr:colOff>
                    <xdr:row>331</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330</xdr:row>
                    <xdr:rowOff>171450</xdr:rowOff>
                  </from>
                  <to>
                    <xdr:col>5</xdr:col>
                    <xdr:colOff>88900</xdr:colOff>
                    <xdr:row>332</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331</xdr:row>
                    <xdr:rowOff>184150</xdr:rowOff>
                  </from>
                  <to>
                    <xdr:col>5</xdr:col>
                    <xdr:colOff>88900</xdr:colOff>
                    <xdr:row>333</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332</xdr:row>
                    <xdr:rowOff>165100</xdr:rowOff>
                  </from>
                  <to>
                    <xdr:col>5</xdr:col>
                    <xdr:colOff>88900</xdr:colOff>
                    <xdr:row>334</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334</xdr:row>
                    <xdr:rowOff>222250</xdr:rowOff>
                  </from>
                  <to>
                    <xdr:col>5</xdr:col>
                    <xdr:colOff>88900</xdr:colOff>
                    <xdr:row>336</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296</xdr:row>
                    <xdr:rowOff>171450</xdr:rowOff>
                  </from>
                  <to>
                    <xdr:col>5</xdr:col>
                    <xdr:colOff>88900</xdr:colOff>
                    <xdr:row>298</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306</xdr:row>
                    <xdr:rowOff>171450</xdr:rowOff>
                  </from>
                  <to>
                    <xdr:col>5</xdr:col>
                    <xdr:colOff>88900</xdr:colOff>
                    <xdr:row>307</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298</xdr:row>
                    <xdr:rowOff>184150</xdr:rowOff>
                  </from>
                  <to>
                    <xdr:col>5</xdr:col>
                    <xdr:colOff>88900</xdr:colOff>
                    <xdr:row>300</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328</xdr:row>
                    <xdr:rowOff>0</xdr:rowOff>
                  </from>
                  <to>
                    <xdr:col>5</xdr:col>
                    <xdr:colOff>88900</xdr:colOff>
                    <xdr:row>328</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249</xdr:row>
                    <xdr:rowOff>19050</xdr:rowOff>
                  </from>
                  <to>
                    <xdr:col>6</xdr:col>
                    <xdr:colOff>190500</xdr:colOff>
                    <xdr:row>250</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261</xdr:row>
                    <xdr:rowOff>38100</xdr:rowOff>
                  </from>
                  <to>
                    <xdr:col>5</xdr:col>
                    <xdr:colOff>222250</xdr:colOff>
                    <xdr:row>262</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262</xdr:row>
                    <xdr:rowOff>19050</xdr:rowOff>
                  </from>
                  <to>
                    <xdr:col>5</xdr:col>
                    <xdr:colOff>222250</xdr:colOff>
                    <xdr:row>263</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413</xdr:row>
                    <xdr:rowOff>95250</xdr:rowOff>
                  </from>
                  <to>
                    <xdr:col>3</xdr:col>
                    <xdr:colOff>374650</xdr:colOff>
                    <xdr:row>414</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412</xdr:row>
                    <xdr:rowOff>12700</xdr:rowOff>
                  </from>
                  <to>
                    <xdr:col>11</xdr:col>
                    <xdr:colOff>165100</xdr:colOff>
                    <xdr:row>413</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412</xdr:row>
                    <xdr:rowOff>222250</xdr:rowOff>
                  </from>
                  <to>
                    <xdr:col>12</xdr:col>
                    <xdr:colOff>342900</xdr:colOff>
                    <xdr:row>413</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413</xdr:row>
                    <xdr:rowOff>203200</xdr:rowOff>
                  </from>
                  <to>
                    <xdr:col>12</xdr:col>
                    <xdr:colOff>342900</xdr:colOff>
                    <xdr:row>414</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414</xdr:row>
                    <xdr:rowOff>184150</xdr:rowOff>
                  </from>
                  <to>
                    <xdr:col>12</xdr:col>
                    <xdr:colOff>342900</xdr:colOff>
                    <xdr:row>415</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417</xdr:row>
                    <xdr:rowOff>19050</xdr:rowOff>
                  </from>
                  <to>
                    <xdr:col>3</xdr:col>
                    <xdr:colOff>88900</xdr:colOff>
                    <xdr:row>418</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429</xdr:row>
                    <xdr:rowOff>19050</xdr:rowOff>
                  </from>
                  <to>
                    <xdr:col>5</xdr:col>
                    <xdr:colOff>222250</xdr:colOff>
                    <xdr:row>430</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430</xdr:row>
                    <xdr:rowOff>31750</xdr:rowOff>
                  </from>
                  <to>
                    <xdr:col>5</xdr:col>
                    <xdr:colOff>222250</xdr:colOff>
                    <xdr:row>431</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431</xdr:row>
                    <xdr:rowOff>12700</xdr:rowOff>
                  </from>
                  <to>
                    <xdr:col>5</xdr:col>
                    <xdr:colOff>222250</xdr:colOff>
                    <xdr:row>432</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434</xdr:row>
                    <xdr:rowOff>19050</xdr:rowOff>
                  </from>
                  <to>
                    <xdr:col>5</xdr:col>
                    <xdr:colOff>222250</xdr:colOff>
                    <xdr:row>435</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435</xdr:row>
                    <xdr:rowOff>12700</xdr:rowOff>
                  </from>
                  <to>
                    <xdr:col>5</xdr:col>
                    <xdr:colOff>222250</xdr:colOff>
                    <xdr:row>436</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243</xdr:row>
                    <xdr:rowOff>38100</xdr:rowOff>
                  </from>
                  <to>
                    <xdr:col>1</xdr:col>
                    <xdr:colOff>393700</xdr:colOff>
                    <xdr:row>244</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293</xdr:row>
                    <xdr:rowOff>0</xdr:rowOff>
                  </from>
                  <to>
                    <xdr:col>3</xdr:col>
                    <xdr:colOff>279400</xdr:colOff>
                    <xdr:row>302</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293</xdr:row>
                    <xdr:rowOff>19050</xdr:rowOff>
                  </from>
                  <to>
                    <xdr:col>3</xdr:col>
                    <xdr:colOff>247650</xdr:colOff>
                    <xdr:row>294</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294</xdr:row>
                    <xdr:rowOff>88900</xdr:rowOff>
                  </from>
                  <to>
                    <xdr:col>3</xdr:col>
                    <xdr:colOff>247650</xdr:colOff>
                    <xdr:row>295</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295</xdr:row>
                    <xdr:rowOff>165100</xdr:rowOff>
                  </from>
                  <to>
                    <xdr:col>3</xdr:col>
                    <xdr:colOff>241300</xdr:colOff>
                    <xdr:row>297</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297</xdr:row>
                    <xdr:rowOff>38100</xdr:rowOff>
                  </from>
                  <to>
                    <xdr:col>3</xdr:col>
                    <xdr:colOff>247650</xdr:colOff>
                    <xdr:row>298</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298</xdr:row>
                    <xdr:rowOff>95250</xdr:rowOff>
                  </from>
                  <to>
                    <xdr:col>3</xdr:col>
                    <xdr:colOff>247650</xdr:colOff>
                    <xdr:row>299</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299</xdr:row>
                    <xdr:rowOff>165100</xdr:rowOff>
                  </from>
                  <to>
                    <xdr:col>3</xdr:col>
                    <xdr:colOff>247650</xdr:colOff>
                    <xdr:row>300</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300</xdr:row>
                    <xdr:rowOff>107950</xdr:rowOff>
                  </from>
                  <to>
                    <xdr:col>3</xdr:col>
                    <xdr:colOff>260350</xdr:colOff>
                    <xdr:row>301</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287</xdr:row>
                    <xdr:rowOff>0</xdr:rowOff>
                  </from>
                  <to>
                    <xdr:col>3</xdr:col>
                    <xdr:colOff>279400</xdr:colOff>
                    <xdr:row>291</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287</xdr:row>
                    <xdr:rowOff>19050</xdr:rowOff>
                  </from>
                  <to>
                    <xdr:col>3</xdr:col>
                    <xdr:colOff>254000</xdr:colOff>
                    <xdr:row>288</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12700</xdr:colOff>
                    <xdr:row>288</xdr:row>
                    <xdr:rowOff>69850</xdr:rowOff>
                  </from>
                  <to>
                    <xdr:col>3</xdr:col>
                    <xdr:colOff>247650</xdr:colOff>
                    <xdr:row>289</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12700</xdr:colOff>
                    <xdr:row>289</xdr:row>
                    <xdr:rowOff>107950</xdr:rowOff>
                  </from>
                  <to>
                    <xdr:col>3</xdr:col>
                    <xdr:colOff>247650</xdr:colOff>
                    <xdr:row>290</xdr:row>
                    <xdr:rowOff>158750</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308</xdr:row>
                    <xdr:rowOff>0</xdr:rowOff>
                  </from>
                  <to>
                    <xdr:col>3</xdr:col>
                    <xdr:colOff>374650</xdr:colOff>
                    <xdr:row>318</xdr:row>
                    <xdr:rowOff>184150</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308</xdr:row>
                    <xdr:rowOff>12700</xdr:rowOff>
                  </from>
                  <to>
                    <xdr:col>3</xdr:col>
                    <xdr:colOff>349250</xdr:colOff>
                    <xdr:row>309</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309</xdr:row>
                    <xdr:rowOff>101600</xdr:rowOff>
                  </from>
                  <to>
                    <xdr:col>3</xdr:col>
                    <xdr:colOff>349250</xdr:colOff>
                    <xdr:row>311</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311</xdr:row>
                    <xdr:rowOff>19050</xdr:rowOff>
                  </from>
                  <to>
                    <xdr:col>3</xdr:col>
                    <xdr:colOff>349250</xdr:colOff>
                    <xdr:row>312</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312</xdr:row>
                    <xdr:rowOff>120650</xdr:rowOff>
                  </from>
                  <to>
                    <xdr:col>3</xdr:col>
                    <xdr:colOff>349250</xdr:colOff>
                    <xdr:row>314</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314</xdr:row>
                    <xdr:rowOff>25400</xdr:rowOff>
                  </from>
                  <to>
                    <xdr:col>3</xdr:col>
                    <xdr:colOff>349250</xdr:colOff>
                    <xdr:row>315</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315</xdr:row>
                    <xdr:rowOff>127000</xdr:rowOff>
                  </from>
                  <to>
                    <xdr:col>3</xdr:col>
                    <xdr:colOff>349250</xdr:colOff>
                    <xdr:row>317</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317</xdr:row>
                    <xdr:rowOff>38100</xdr:rowOff>
                  </from>
                  <to>
                    <xdr:col>3</xdr:col>
                    <xdr:colOff>349250</xdr:colOff>
                    <xdr:row>318</xdr:row>
                    <xdr:rowOff>146050</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1079500</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246</xdr:row>
                    <xdr:rowOff>12700</xdr:rowOff>
                  </from>
                  <to>
                    <xdr:col>1</xdr:col>
                    <xdr:colOff>1511300</xdr:colOff>
                    <xdr:row>246</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246</xdr:row>
                    <xdr:rowOff>19050</xdr:rowOff>
                  </from>
                  <to>
                    <xdr:col>10</xdr:col>
                    <xdr:colOff>120650</xdr:colOff>
                    <xdr:row>246</xdr:row>
                    <xdr:rowOff>241300</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203200</xdr:colOff>
                    <xdr:row>246</xdr:row>
                    <xdr:rowOff>19050</xdr:rowOff>
                  </from>
                  <to>
                    <xdr:col>14</xdr:col>
                    <xdr:colOff>508000</xdr:colOff>
                    <xdr:row>246</xdr:row>
                    <xdr:rowOff>241300</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253</xdr:row>
                    <xdr:rowOff>19050</xdr:rowOff>
                  </from>
                  <to>
                    <xdr:col>13</xdr:col>
                    <xdr:colOff>615950</xdr:colOff>
                    <xdr:row>253</xdr:row>
                    <xdr:rowOff>254000</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31750</xdr:colOff>
                    <xdr:row>253</xdr:row>
                    <xdr:rowOff>19050</xdr:rowOff>
                  </from>
                  <to>
                    <xdr:col>14</xdr:col>
                    <xdr:colOff>444500</xdr:colOff>
                    <xdr:row>253</xdr:row>
                    <xdr:rowOff>254000</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12700</xdr:colOff>
                    <xdr:row>266</xdr:row>
                    <xdr:rowOff>12700</xdr:rowOff>
                  </from>
                  <to>
                    <xdr:col>15</xdr:col>
                    <xdr:colOff>0</xdr:colOff>
                    <xdr:row>267</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69850</xdr:colOff>
                    <xdr:row>266</xdr:row>
                    <xdr:rowOff>38100</xdr:rowOff>
                  </from>
                  <to>
                    <xdr:col>14</xdr:col>
                    <xdr:colOff>50800</xdr:colOff>
                    <xdr:row>266</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266</xdr:row>
                    <xdr:rowOff>38100</xdr:rowOff>
                  </from>
                  <to>
                    <xdr:col>14</xdr:col>
                    <xdr:colOff>596900</xdr:colOff>
                    <xdr:row>266</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965200</xdr:colOff>
                    <xdr:row>403</xdr:row>
                    <xdr:rowOff>12700</xdr:rowOff>
                  </from>
                  <to>
                    <xdr:col>15</xdr:col>
                    <xdr:colOff>0</xdr:colOff>
                    <xdr:row>404</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403</xdr:row>
                    <xdr:rowOff>25400</xdr:rowOff>
                  </from>
                  <to>
                    <xdr:col>3</xdr:col>
                    <xdr:colOff>19050</xdr:colOff>
                    <xdr:row>403</xdr:row>
                    <xdr:rowOff>215900</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0</xdr:colOff>
                    <xdr:row>403</xdr:row>
                    <xdr:rowOff>25400</xdr:rowOff>
                  </from>
                  <to>
                    <xdr:col>11</xdr:col>
                    <xdr:colOff>12700</xdr:colOff>
                    <xdr:row>403</xdr:row>
                    <xdr:rowOff>215900</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403</xdr:row>
                    <xdr:rowOff>25400</xdr:rowOff>
                  </from>
                  <to>
                    <xdr:col>14</xdr:col>
                    <xdr:colOff>590550</xdr:colOff>
                    <xdr:row>403</xdr:row>
                    <xdr:rowOff>215900</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423</xdr:row>
                    <xdr:rowOff>19050</xdr:rowOff>
                  </from>
                  <to>
                    <xdr:col>1</xdr:col>
                    <xdr:colOff>1428750</xdr:colOff>
                    <xdr:row>427</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423</xdr:row>
                    <xdr:rowOff>57150</xdr:rowOff>
                  </from>
                  <to>
                    <xdr:col>1</xdr:col>
                    <xdr:colOff>1390650</xdr:colOff>
                    <xdr:row>423</xdr:row>
                    <xdr:rowOff>298450</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424</xdr:row>
                    <xdr:rowOff>76200</xdr:rowOff>
                  </from>
                  <to>
                    <xdr:col>1</xdr:col>
                    <xdr:colOff>1390650</xdr:colOff>
                    <xdr:row>424</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424</xdr:row>
                    <xdr:rowOff>425450</xdr:rowOff>
                  </from>
                  <to>
                    <xdr:col>1</xdr:col>
                    <xdr:colOff>1403350</xdr:colOff>
                    <xdr:row>425</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425</xdr:row>
                    <xdr:rowOff>330200</xdr:rowOff>
                  </from>
                  <to>
                    <xdr:col>1</xdr:col>
                    <xdr:colOff>1403350</xdr:colOff>
                    <xdr:row>426</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424</xdr:row>
                    <xdr:rowOff>228600</xdr:rowOff>
                  </from>
                  <to>
                    <xdr:col>1</xdr:col>
                    <xdr:colOff>749300</xdr:colOff>
                    <xdr:row>425</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438</xdr:row>
                    <xdr:rowOff>88900</xdr:rowOff>
                  </from>
                  <to>
                    <xdr:col>14</xdr:col>
                    <xdr:colOff>44450</xdr:colOff>
                    <xdr:row>438</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12700</xdr:colOff>
                    <xdr:row>438</xdr:row>
                    <xdr:rowOff>88900</xdr:rowOff>
                  </from>
                  <to>
                    <xdr:col>14</xdr:col>
                    <xdr:colOff>596900</xdr:colOff>
                    <xdr:row>438</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442</xdr:row>
                    <xdr:rowOff>31750</xdr:rowOff>
                  </from>
                  <to>
                    <xdr:col>14</xdr:col>
                    <xdr:colOff>44450</xdr:colOff>
                    <xdr:row>442</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12700</xdr:colOff>
                    <xdr:row>442</xdr:row>
                    <xdr:rowOff>31750</xdr:rowOff>
                  </from>
                  <to>
                    <xdr:col>14</xdr:col>
                    <xdr:colOff>596900</xdr:colOff>
                    <xdr:row>442</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800100</xdr:colOff>
                    <xdr:row>372</xdr:row>
                    <xdr:rowOff>19050</xdr:rowOff>
                  </from>
                  <to>
                    <xdr:col>2</xdr:col>
                    <xdr:colOff>63500</xdr:colOff>
                    <xdr:row>372</xdr:row>
                    <xdr:rowOff>254000</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1</xdr:col>
                    <xdr:colOff>1504950</xdr:colOff>
                    <xdr:row>372</xdr:row>
                    <xdr:rowOff>19050</xdr:rowOff>
                  </from>
                  <to>
                    <xdr:col>14</xdr:col>
                    <xdr:colOff>584200</xdr:colOff>
                    <xdr:row>372</xdr:row>
                    <xdr:rowOff>254000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70"/>
  <sheetViews>
    <sheetView showGridLines="0" zoomScale="120" zoomScaleNormal="120" workbookViewId="0"/>
  </sheetViews>
  <sheetFormatPr defaultColWidth="3.1796875" defaultRowHeight="13" x14ac:dyDescent="0.3"/>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3">
      <c r="B1" s="739" t="s">
        <v>1732</v>
      </c>
      <c r="C1" s="786"/>
      <c r="D1" s="747" t="str">
        <f>IF('Start here'!A6="","",'Start here'!A6)</f>
        <v/>
      </c>
      <c r="E1" s="751"/>
      <c r="F1" s="751"/>
      <c r="G1" s="751"/>
      <c r="H1" s="751"/>
      <c r="I1" s="751"/>
      <c r="J1" s="751"/>
      <c r="K1" s="752"/>
      <c r="M1" s="747" t="str">
        <f>IF('Start here'!A7="","",'Start here'!A7)</f>
        <v/>
      </c>
      <c r="N1" s="751"/>
      <c r="O1" s="751"/>
      <c r="P1" s="752"/>
      <c r="R1" s="245">
        <v>38353</v>
      </c>
      <c r="S1" s="925" t="str">
        <f>IF(R2&lt;R1,"Go to PPD Worksheet","")</f>
        <v>Go to PPD Worksheet</v>
      </c>
      <c r="T1" s="925"/>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3">
      <c r="B2" s="792"/>
      <c r="C2" s="792"/>
      <c r="D2" s="792"/>
      <c r="E2" s="792"/>
      <c r="F2" s="792"/>
      <c r="G2" s="792"/>
      <c r="H2" s="792"/>
      <c r="I2" s="792"/>
      <c r="J2" s="792"/>
      <c r="K2" s="792"/>
      <c r="L2" s="792"/>
      <c r="M2" s="792"/>
      <c r="N2" s="792"/>
      <c r="O2" s="792"/>
      <c r="P2" s="792"/>
      <c r="R2" s="245">
        <f>'Start here'!A8</f>
        <v>0</v>
      </c>
      <c r="S2" s="925" t="str">
        <f>IF(R2&gt;=R1,"Go to PPD Worksheet","")</f>
        <v/>
      </c>
      <c r="T2" s="845"/>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4">
      <c r="B3" s="793" t="s">
        <v>1269</v>
      </c>
      <c r="C3" s="794"/>
      <c r="D3" s="794"/>
      <c r="E3" s="794"/>
      <c r="F3" s="794"/>
      <c r="G3" s="794"/>
      <c r="H3" s="794"/>
      <c r="I3" s="794"/>
      <c r="J3" s="794"/>
      <c r="K3" s="794"/>
      <c r="L3" s="794"/>
      <c r="M3" s="794"/>
      <c r="N3" s="794"/>
      <c r="O3" s="794"/>
      <c r="P3" s="1117"/>
      <c r="R3" s="10"/>
      <c r="T3" s="280" t="s">
        <v>1441</v>
      </c>
      <c r="U3" s="530"/>
      <c r="V3" s="530"/>
      <c r="W3" s="530"/>
      <c r="X3" s="530"/>
      <c r="Y3" s="530"/>
      <c r="Z3" s="531"/>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3">
      <c r="B4" s="180" t="s">
        <v>406</v>
      </c>
      <c r="C4" s="1076" t="s">
        <v>345</v>
      </c>
      <c r="D4" s="1077"/>
      <c r="E4" s="1076" t="s">
        <v>346</v>
      </c>
      <c r="F4" s="1077"/>
      <c r="G4" s="1076" t="s">
        <v>347</v>
      </c>
      <c r="H4" s="1077"/>
      <c r="I4" s="1077"/>
      <c r="J4" s="1076" t="s">
        <v>348</v>
      </c>
      <c r="K4" s="1077"/>
      <c r="L4" s="1076" t="s">
        <v>349</v>
      </c>
      <c r="M4" s="1077"/>
      <c r="N4" s="369" t="s">
        <v>714</v>
      </c>
      <c r="O4" s="368" t="s">
        <v>672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3">
      <c r="B5" s="792"/>
      <c r="C5" s="792"/>
      <c r="D5" s="792"/>
      <c r="E5" s="792"/>
      <c r="F5" s="792"/>
      <c r="G5" s="792"/>
      <c r="H5" s="792"/>
      <c r="I5" s="792"/>
      <c r="J5" s="792"/>
      <c r="K5" s="792"/>
      <c r="L5" s="792"/>
      <c r="M5" s="792"/>
      <c r="N5" s="792"/>
      <c r="O5" s="792"/>
      <c r="P5" s="79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3">
      <c r="B6" s="947" t="s">
        <v>1270</v>
      </c>
      <c r="C6" s="878"/>
      <c r="D6" s="878"/>
      <c r="E6" s="878"/>
      <c r="F6" s="878"/>
      <c r="G6" s="878"/>
      <c r="H6" s="878"/>
      <c r="I6" s="878"/>
      <c r="J6" s="878"/>
      <c r="K6" s="878"/>
      <c r="L6" s="878"/>
      <c r="M6" s="878"/>
      <c r="N6" s="878"/>
      <c r="O6" s="878"/>
      <c r="P6" s="878"/>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3">
      <c r="B7" s="925" t="s">
        <v>1271</v>
      </c>
      <c r="C7" s="925"/>
      <c r="D7" s="925"/>
      <c r="E7" s="925"/>
      <c r="F7" s="925"/>
      <c r="G7" s="925"/>
      <c r="H7" s="925"/>
      <c r="I7" s="925"/>
      <c r="J7" s="925"/>
      <c r="K7" s="925"/>
      <c r="L7" s="925"/>
      <c r="M7" s="925"/>
      <c r="N7" s="925"/>
      <c r="O7" s="925"/>
      <c r="P7" s="925"/>
      <c r="R7" s="10"/>
      <c r="S7" s="10"/>
      <c r="T7" s="77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3">
      <c r="B8" s="1014"/>
      <c r="C8" s="1014"/>
      <c r="D8" s="1014"/>
      <c r="E8" s="1014"/>
      <c r="F8" s="1014"/>
      <c r="G8" s="1014"/>
      <c r="H8" s="1014"/>
      <c r="I8" s="1014"/>
      <c r="J8" s="1014"/>
      <c r="K8" s="1014"/>
      <c r="L8" s="1014"/>
      <c r="M8" s="1014"/>
      <c r="N8" s="1014"/>
      <c r="O8" s="1014"/>
      <c r="P8" s="21">
        <f>SUMIF(U7:AO7,B8,U8:AO8)</f>
        <v>0</v>
      </c>
      <c r="R8" s="10"/>
      <c r="S8" s="10"/>
      <c r="T8" s="77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35">
      <c r="B9" s="1244"/>
      <c r="C9" s="1244"/>
      <c r="D9" s="1244"/>
      <c r="E9" s="1244"/>
      <c r="F9" s="1244"/>
      <c r="G9" s="1244"/>
      <c r="H9" s="1244"/>
      <c r="I9" s="1244"/>
      <c r="J9" s="1244"/>
      <c r="K9" s="1244"/>
      <c r="L9" s="1244"/>
      <c r="M9" s="1244"/>
      <c r="N9" s="1244"/>
      <c r="O9" s="1244"/>
      <c r="P9" s="1244"/>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3">
      <c r="B10" s="940" t="s">
        <v>1192</v>
      </c>
      <c r="C10" s="941"/>
      <c r="D10" s="941"/>
      <c r="E10" s="941"/>
      <c r="F10" s="941"/>
      <c r="G10" s="941"/>
      <c r="H10" s="941"/>
      <c r="I10" s="941"/>
      <c r="J10" s="941"/>
      <c r="K10" s="941"/>
      <c r="L10" s="941"/>
      <c r="M10" s="941"/>
      <c r="N10" s="941"/>
      <c r="O10" s="941"/>
      <c r="P10" s="845"/>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35">
      <c r="B11" s="383"/>
      <c r="C11" s="847" t="s">
        <v>1595</v>
      </c>
      <c r="D11" s="847"/>
      <c r="E11" s="847"/>
      <c r="F11" s="847"/>
      <c r="G11" s="1137" t="s">
        <v>1081</v>
      </c>
      <c r="H11" s="1137"/>
      <c r="I11" s="1137"/>
      <c r="J11" s="1137"/>
      <c r="K11" s="1137"/>
      <c r="L11" s="1207"/>
      <c r="M11" s="1207"/>
      <c r="N11" s="1207"/>
      <c r="O11" s="1207"/>
      <c r="P11" s="846"/>
      <c r="R11" s="10"/>
      <c r="T11" s="927" t="s">
        <v>1257</v>
      </c>
      <c r="U11" s="927"/>
      <c r="V11" s="10"/>
      <c r="W11" s="10"/>
      <c r="X11" s="10"/>
      <c r="Y11" s="984" t="s">
        <v>2259</v>
      </c>
      <c r="Z11" s="985"/>
      <c r="AA11" s="985"/>
      <c r="AB11" s="986"/>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3">
      <c r="B12" s="296" t="s">
        <v>1082</v>
      </c>
      <c r="C12" s="925"/>
      <c r="D12" s="925"/>
      <c r="E12" s="925" t="s">
        <v>1795</v>
      </c>
      <c r="F12" s="925"/>
      <c r="G12" s="925" t="s">
        <v>365</v>
      </c>
      <c r="H12" s="925"/>
      <c r="I12" s="925"/>
      <c r="J12" s="925" t="s">
        <v>1795</v>
      </c>
      <c r="K12" s="925"/>
      <c r="L12" s="1265"/>
      <c r="M12" s="1266"/>
      <c r="N12" s="1266"/>
      <c r="O12" s="1267"/>
      <c r="P12" s="846"/>
      <c r="R12" s="10"/>
      <c r="S12" s="128" t="s">
        <v>1572</v>
      </c>
      <c r="T12" s="259" t="s">
        <v>1595</v>
      </c>
      <c r="U12" s="259" t="s">
        <v>1596</v>
      </c>
      <c r="V12" s="925" t="s">
        <v>1083</v>
      </c>
      <c r="W12" s="925"/>
      <c r="Y12" s="194">
        <f>IF(E14&gt;0,O15,IF(AND(E14=0,W20&gt;0,O15&gt;0,C21&gt;0),C21*O15,O15))</f>
        <v>0</v>
      </c>
      <c r="Z12" s="194">
        <f>IF(W20&gt;0,O20,IF(AND(W20=0,E14&gt;0,O20&gt;0,C21&gt;0),C21*O20,O20))</f>
        <v>0</v>
      </c>
      <c r="AA12" s="194">
        <f>IF(AND(E14=0,W20=0,C21&gt;0),C21*AB19,AB19)</f>
        <v>0</v>
      </c>
      <c r="AB12" s="18">
        <f>IF(AND(E14&gt;0,W20&gt;0),1,IF(AND(E14&gt;0,O20=0),1,IF(AND(W20&gt;0,O15=0),1,0)))</f>
        <v>0</v>
      </c>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3">
      <c r="B13" s="296" t="s">
        <v>1255</v>
      </c>
      <c r="C13" s="1260"/>
      <c r="D13" s="1261"/>
      <c r="E13" s="1202">
        <f>LETable!AT3</f>
        <v>0</v>
      </c>
      <c r="F13" s="1202"/>
      <c r="G13" s="745"/>
      <c r="H13" s="892"/>
      <c r="I13" s="892"/>
      <c r="J13" s="1263">
        <f>IF(C13="",0,IF(OR(C13&lt;=0,G13&lt;=0),E13,IF(G13&lt;C13,0,LETable!AY3)))</f>
        <v>0</v>
      </c>
      <c r="K13" s="1264"/>
      <c r="L13" s="1209" t="str">
        <f>IF(OR(C13="NA",G13="NA"),"",IF(AND(C13&lt;&gt;"",G13=""),"Enter contralateral or NA.",IF(AND(C13="",G13&lt;&gt;""),"Need data","")))</f>
        <v/>
      </c>
      <c r="M13" s="1210"/>
      <c r="N13" s="1210"/>
      <c r="O13" s="1210"/>
      <c r="P13" s="846"/>
      <c r="R13" s="132"/>
      <c r="S13" s="50">
        <v>30</v>
      </c>
      <c r="T13" s="50"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3">
      <c r="B14" s="296" t="s">
        <v>1839</v>
      </c>
      <c r="C14" s="1260"/>
      <c r="D14" s="1261"/>
      <c r="E14" s="1309">
        <f>IF(AND(C14&lt;&gt;"",C14&lt;&gt;"NA",C13&lt;&gt;"NA",C13&lt;&gt;""),"ERROR",LETable!AT4)</f>
        <v>0</v>
      </c>
      <c r="F14" s="1310"/>
      <c r="G14" s="1073" t="str">
        <f>IF(E14="ERROR","Error: Cannot rate ROM and ankylosis.","")</f>
        <v/>
      </c>
      <c r="H14" s="1208"/>
      <c r="I14" s="1208"/>
      <c r="J14" s="1208"/>
      <c r="K14" s="1208"/>
      <c r="L14" s="1208"/>
      <c r="M14" s="1208"/>
      <c r="N14" s="1208"/>
      <c r="O14" s="1208"/>
      <c r="P14" s="846"/>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3">
      <c r="B15" s="296" t="s">
        <v>1840</v>
      </c>
      <c r="C15" s="1304"/>
      <c r="D15" s="1305"/>
      <c r="E15" s="1305"/>
      <c r="F15" s="1305"/>
      <c r="G15" s="1305"/>
      <c r="H15" s="1305"/>
      <c r="I15" s="1305"/>
      <c r="J15" s="1305"/>
      <c r="K15" s="1306"/>
      <c r="L15" s="1099" t="s">
        <v>1841</v>
      </c>
      <c r="M15" s="1100"/>
      <c r="N15" s="1101"/>
      <c r="O15" s="59">
        <f>IF(E14="ERROR","ERROR",IF(R15&gt;1,1,R15))</f>
        <v>0</v>
      </c>
      <c r="P15" s="846"/>
      <c r="R15" s="193">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3">
      <c r="B16" s="297" t="s">
        <v>1334</v>
      </c>
      <c r="C16" s="1018"/>
      <c r="D16" s="1018"/>
      <c r="E16" s="1202">
        <f>LETable!AT6</f>
        <v>0</v>
      </c>
      <c r="F16" s="1202"/>
      <c r="G16" s="745"/>
      <c r="H16" s="892"/>
      <c r="I16" s="892"/>
      <c r="J16" s="1206">
        <f>IF(C16="",0,IF(OR(C16&lt;=0,G16&lt;=0),E16,IF(G16&lt;C16,0,LETable!AY6)))</f>
        <v>0</v>
      </c>
      <c r="K16" s="1206"/>
      <c r="L16" s="1256" t="str">
        <f>IF(OR(C16="NA",G16="NA"),"",IF(AND(C16&lt;&gt;"",G16=""),"Enter contralateral or NA.",IF(AND(C16="",G16&lt;&gt;""),"Need data","")))</f>
        <v/>
      </c>
      <c r="M16" s="1256"/>
      <c r="N16" s="1256"/>
      <c r="O16" s="1256"/>
      <c r="P16" s="846"/>
      <c r="S16" s="50">
        <v>50</v>
      </c>
      <c r="T16" s="50" t="str">
        <f>IF(OR(C16="",C16="NA"),"",IF(C16&gt;S16,S16,IF(C16&lt;0,0,C16)))</f>
        <v/>
      </c>
      <c r="U16" s="50" t="str">
        <f>IF(OR(G16="",G16="NA"),"",IF(G16&gt;S16,S16,IF(G16&lt;0,0,G16)))</f>
        <v/>
      </c>
      <c r="V16" s="562" t="str">
        <f>IF(W16="","",ROUND(W16,0))</f>
        <v/>
      </c>
      <c r="W16" s="563"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3">
      <c r="B17" s="297" t="s">
        <v>1335</v>
      </c>
      <c r="C17" s="1268"/>
      <c r="D17" s="1268"/>
      <c r="E17" s="1202">
        <f>IF(AND(C17&lt;&gt;"",C17&lt;&gt;"NA",C16&lt;&gt;"NA",C16&lt;&gt;""),"ERROR",IF(AND(C17&lt;&gt;"",C17&lt;&gt;"NA",C18&lt;&gt;"",C18&lt;&gt;"NA"),"ERROR",LETable!AT7))</f>
        <v>0</v>
      </c>
      <c r="F17" s="1202"/>
      <c r="G17" s="946" t="str">
        <f>IF(E17="ERROR","Error: Cannot rate ROM and ankylosis.","")</f>
        <v/>
      </c>
      <c r="H17" s="946"/>
      <c r="I17" s="946"/>
      <c r="J17" s="946"/>
      <c r="K17" s="946"/>
      <c r="L17" s="946"/>
      <c r="M17" s="946"/>
      <c r="N17" s="946"/>
      <c r="O17" s="946"/>
      <c r="P17" s="846"/>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3">
      <c r="B18" s="128" t="s">
        <v>1255</v>
      </c>
      <c r="C18" s="1268"/>
      <c r="D18" s="1268"/>
      <c r="E18" s="1202">
        <f>LETable!AT8</f>
        <v>0</v>
      </c>
      <c r="F18" s="1202"/>
      <c r="G18" s="745"/>
      <c r="H18" s="892"/>
      <c r="I18" s="892"/>
      <c r="J18" s="1206">
        <f>IF(C18="",0,IF(OR(C18&lt;=0,G18&lt;=0),E18,IF(G18&lt;C18,0,LETable!AY8)))</f>
        <v>0</v>
      </c>
      <c r="K18" s="1206"/>
      <c r="L18" s="1256" t="str">
        <f>IF(OR(C18="NA",G18="NA"),"",IF(AND(C18&lt;&gt;"",G18=""),"Enter contralateral or NA.",IF(AND(C18="",G18&lt;&gt;""),"Need data","")))</f>
        <v/>
      </c>
      <c r="M18" s="1256"/>
      <c r="N18" s="1256"/>
      <c r="O18" s="1256"/>
      <c r="P18" s="846"/>
      <c r="R18" s="10"/>
      <c r="S18" s="50">
        <v>30</v>
      </c>
      <c r="T18" s="50"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3">
      <c r="B19" s="296" t="s">
        <v>1839</v>
      </c>
      <c r="C19" s="1260"/>
      <c r="D19" s="1261"/>
      <c r="E19" s="1202">
        <f>IF(AND(C19&lt;&gt;"",C19&lt;&gt;"NA",C18&lt;&gt;"NA",C18&lt;&gt;""),"ERROR",IF(AND(C19&lt;&gt;"",C19&lt;&gt;"NA",C16&lt;&gt;"",C16&lt;&gt;"NA"),"ERROR",LETable!AT9))</f>
        <v>0</v>
      </c>
      <c r="F19" s="1202"/>
      <c r="G19" s="1203" t="str">
        <f>IF(E19="ERROR","Error: Cannot rate ROM and ankylosis.",IF(AND(C17&lt;&gt;"",C17&lt;&gt;"NA",C19&lt;&gt;"",C19&lt;&gt;"NA"),"Multiple ankylosis values; use higher value only.",""))</f>
        <v/>
      </c>
      <c r="H19" s="1204"/>
      <c r="I19" s="1204"/>
      <c r="J19" s="1204"/>
      <c r="K19" s="1204"/>
      <c r="L19" s="1204"/>
      <c r="M19" s="1204"/>
      <c r="N19" s="1204"/>
      <c r="O19" s="1205"/>
      <c r="P19" s="846"/>
      <c r="R19" s="10"/>
      <c r="S19" s="50">
        <v>30</v>
      </c>
      <c r="T19" s="50"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3">
      <c r="B20" s="636"/>
      <c r="C20" s="637"/>
      <c r="D20" s="637"/>
      <c r="E20" s="998" t="str">
        <f>IF(AND(OR(E14&gt;0,W20&gt;0),C21&gt;0),"Note: Ankylosis impairment is not apportioned.","")</f>
        <v/>
      </c>
      <c r="F20" s="999"/>
      <c r="G20" s="999"/>
      <c r="H20" s="999"/>
      <c r="I20" s="999"/>
      <c r="J20" s="1000"/>
      <c r="K20" s="1099" t="s">
        <v>1841</v>
      </c>
      <c r="L20" s="1100"/>
      <c r="M20" s="1100"/>
      <c r="N20" s="1101"/>
      <c r="O20" s="59">
        <f>IF(OR(E17="ERROR",E19="ERROR"),"ERROR",IF(R20&gt;1,1,R20))</f>
        <v>0</v>
      </c>
      <c r="P20" s="847"/>
      <c r="R20" s="193">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3">
      <c r="B21" s="13" t="s">
        <v>2255</v>
      </c>
      <c r="C21" s="935"/>
      <c r="D21" s="960"/>
      <c r="E21" s="975"/>
      <c r="F21" s="976"/>
      <c r="G21" s="976"/>
      <c r="H21" s="976"/>
      <c r="I21" s="976"/>
      <c r="J21" s="977"/>
      <c r="K21" s="1099" t="s">
        <v>1369</v>
      </c>
      <c r="L21" s="1100"/>
      <c r="M21" s="1100"/>
      <c r="N21" s="1100"/>
      <c r="O21" s="1101"/>
      <c r="P21" s="248">
        <f>IF(OR(O15="ERROR",O20="ERROR"),"ERROR",IF(AND(AA12&gt;0,AA12&lt;0.01),0.01,ROUND(AA12,2)))</f>
        <v>0</v>
      </c>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3">
      <c r="B22" s="1211"/>
      <c r="C22" s="1211"/>
      <c r="D22" s="1211"/>
      <c r="E22" s="1211"/>
      <c r="F22" s="1211"/>
      <c r="G22" s="1211"/>
      <c r="H22" s="1211"/>
      <c r="I22" s="1211"/>
      <c r="J22" s="1211"/>
      <c r="K22" s="1211"/>
      <c r="L22" s="1211"/>
      <c r="M22" s="1211"/>
      <c r="N22" s="1211"/>
      <c r="O22" s="1211"/>
      <c r="P22" s="384"/>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3">
      <c r="B23" s="925" t="s">
        <v>2004</v>
      </c>
      <c r="C23" s="925"/>
      <c r="D23" s="925"/>
      <c r="E23" s="925"/>
      <c r="F23" s="925"/>
      <c r="G23" s="925"/>
      <c r="H23" s="925"/>
      <c r="I23" s="925"/>
      <c r="J23" s="925"/>
      <c r="K23" s="925"/>
      <c r="L23" s="925"/>
      <c r="M23" s="925"/>
      <c r="N23" s="925"/>
      <c r="O23" s="925"/>
      <c r="P23" s="385"/>
      <c r="R23" s="10"/>
      <c r="S23" s="878" t="s">
        <v>2196</v>
      </c>
      <c r="T23" s="878"/>
      <c r="U23" s="878"/>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3">
      <c r="B24" s="308" t="s">
        <v>2011</v>
      </c>
      <c r="C24" s="708"/>
      <c r="D24" s="708"/>
      <c r="E24" s="708"/>
      <c r="F24" s="708"/>
      <c r="G24" s="708"/>
      <c r="H24" s="708"/>
      <c r="I24" s="708"/>
      <c r="J24" s="708"/>
      <c r="K24" s="708"/>
      <c r="L24" s="708"/>
      <c r="M24" s="708"/>
      <c r="N24" s="708"/>
      <c r="O24" s="60"/>
      <c r="P24" s="21">
        <f>IF($W$239&gt;0,0,R24)</f>
        <v>0</v>
      </c>
      <c r="R24" s="147">
        <f>IF(C24=S24,0,IF(C24=T24,0.05,IF(C24=U24,0.1,0)))</f>
        <v>0</v>
      </c>
      <c r="S24" s="50" t="s">
        <v>1941</v>
      </c>
      <c r="T24" s="50" t="s">
        <v>1784</v>
      </c>
      <c r="U24" s="50" t="s">
        <v>1785</v>
      </c>
      <c r="V24" s="97"/>
      <c r="W24" s="96"/>
      <c r="X24" s="133"/>
      <c r="Y24" s="126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3">
      <c r="B25" s="308" t="s">
        <v>2012</v>
      </c>
      <c r="C25" s="708"/>
      <c r="D25" s="708"/>
      <c r="E25" s="708"/>
      <c r="F25" s="708"/>
      <c r="G25" s="708"/>
      <c r="H25" s="708"/>
      <c r="I25" s="708"/>
      <c r="J25" s="708"/>
      <c r="K25" s="708"/>
      <c r="L25" s="708"/>
      <c r="M25" s="708"/>
      <c r="N25" s="708"/>
      <c r="O25" s="60"/>
      <c r="P25" s="21">
        <f>IF($W$239&gt;0,0,R25)</f>
        <v>0</v>
      </c>
      <c r="R25" s="147">
        <f>IF(C25=S25,0,IF(C25=T25,0.05,IF(C25=U25,0.1,0)))</f>
        <v>0</v>
      </c>
      <c r="S25" s="50" t="s">
        <v>1941</v>
      </c>
      <c r="T25" s="50" t="s">
        <v>1996</v>
      </c>
      <c r="U25" s="50" t="s">
        <v>1997</v>
      </c>
      <c r="V25" s="97"/>
      <c r="W25" s="96"/>
      <c r="X25" s="133"/>
      <c r="Y25" s="126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3">
      <c r="B26" s="1056" t="str">
        <f>IF(AND(OR(R24&gt;0,R25&gt;0),$W$239&gt;0),"A value has been given for loss of sensation or hypersensitivity in the foot. No additional value is allowed for the toes.","")</f>
        <v/>
      </c>
      <c r="C26" s="1056"/>
      <c r="D26" s="1056"/>
      <c r="E26" s="1056"/>
      <c r="F26" s="1056"/>
      <c r="G26" s="1056"/>
      <c r="H26" s="1056"/>
      <c r="I26" s="1056"/>
      <c r="J26" s="1056"/>
      <c r="K26" s="1056"/>
      <c r="L26" s="1056"/>
      <c r="M26" s="1056"/>
      <c r="N26" s="1056"/>
      <c r="O26" s="1056"/>
      <c r="P26" s="199"/>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3">
      <c r="A27" s="2"/>
      <c r="B27" s="712"/>
      <c r="C27" s="792"/>
      <c r="D27" s="792"/>
      <c r="E27" s="792"/>
      <c r="F27" s="792"/>
      <c r="G27" s="792"/>
      <c r="H27" s="792"/>
      <c r="I27" s="792"/>
      <c r="J27" s="792"/>
      <c r="K27" s="792"/>
      <c r="L27" s="792"/>
      <c r="M27" s="792"/>
      <c r="N27" s="792"/>
      <c r="O27" s="792"/>
      <c r="P27" s="63"/>
      <c r="Q27" s="2"/>
      <c r="R27" s="10"/>
      <c r="S27" s="10"/>
      <c r="Y27" s="10"/>
      <c r="Z27" s="739"/>
      <c r="AA27" s="739"/>
      <c r="AB27" s="739"/>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3">
      <c r="A28" s="2"/>
      <c r="B28" s="776" t="s">
        <v>2015</v>
      </c>
      <c r="C28" s="776"/>
      <c r="D28" s="776"/>
      <c r="E28" s="776"/>
      <c r="F28" s="776"/>
      <c r="G28" s="776"/>
      <c r="H28" s="776"/>
      <c r="I28" s="776"/>
      <c r="J28" s="776"/>
      <c r="K28" s="776"/>
      <c r="L28" s="776"/>
      <c r="M28" s="776"/>
      <c r="N28" s="708"/>
      <c r="O28" s="708"/>
      <c r="P28" s="21">
        <f>IF(N28=T28,0.03,IF(N28=U28,0.15,IF(N28=V28,0.38,IF(N28=W28,0.68,IF(N28=X28,0.9,0)))))</f>
        <v>0</v>
      </c>
      <c r="Q28" s="2"/>
      <c r="R28" s="878" t="s">
        <v>2196</v>
      </c>
      <c r="S28" s="878"/>
      <c r="T28" s="50" t="s">
        <v>1968</v>
      </c>
      <c r="U28" s="50" t="s">
        <v>1969</v>
      </c>
      <c r="V28" s="147" t="s">
        <v>1971</v>
      </c>
      <c r="W28" s="50" t="s">
        <v>945</v>
      </c>
      <c r="X28" s="147" t="s">
        <v>558</v>
      </c>
      <c r="Y28" s="10"/>
      <c r="Z28" s="739"/>
      <c r="AA28" s="739"/>
      <c r="AB28" s="739"/>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3">
      <c r="B29" s="527"/>
      <c r="C29" s="527"/>
      <c r="D29" s="527"/>
      <c r="E29" s="527"/>
      <c r="F29" s="527"/>
      <c r="G29" s="527"/>
      <c r="H29" s="527"/>
      <c r="I29" s="527"/>
      <c r="J29" s="527"/>
      <c r="K29" s="527"/>
      <c r="L29" s="527"/>
      <c r="M29" s="527"/>
      <c r="N29" s="527"/>
      <c r="O29" s="527"/>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3">
      <c r="A30" s="15"/>
      <c r="B30" s="259" t="s">
        <v>624</v>
      </c>
      <c r="C30" s="1083"/>
      <c r="D30" s="1022"/>
      <c r="E30" s="757" t="s">
        <v>625</v>
      </c>
      <c r="F30" s="758"/>
      <c r="G30" s="758"/>
      <c r="H30" s="758"/>
      <c r="I30" s="758"/>
      <c r="J30" s="758"/>
      <c r="K30" s="758"/>
      <c r="L30" s="758"/>
      <c r="M30" s="758"/>
      <c r="N30" s="758"/>
      <c r="O30" s="759"/>
      <c r="P30" s="248">
        <f>IF(T30=1,0.2,0)</f>
        <v>0</v>
      </c>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3">
      <c r="B31" s="386" t="s">
        <v>626</v>
      </c>
      <c r="C31" s="1025"/>
      <c r="D31" s="1025"/>
      <c r="E31" s="937" t="s">
        <v>627</v>
      </c>
      <c r="F31" s="938"/>
      <c r="G31" s="938"/>
      <c r="H31" s="938"/>
      <c r="I31" s="938"/>
      <c r="J31" s="938"/>
      <c r="K31" s="938"/>
      <c r="L31" s="938"/>
      <c r="M31" s="938"/>
      <c r="N31" s="938"/>
      <c r="O31" s="939"/>
      <c r="P31" s="278">
        <f>IF(T31=1,0.3,0)</f>
        <v>0</v>
      </c>
      <c r="R31" s="10"/>
      <c r="S31" s="570"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3">
      <c r="B32" s="1212"/>
      <c r="C32" s="1212"/>
      <c r="D32" s="1212"/>
      <c r="E32" s="1212"/>
      <c r="F32" s="1212"/>
      <c r="G32" s="1212"/>
      <c r="H32" s="1212"/>
      <c r="I32" s="1212"/>
      <c r="J32" s="1212"/>
      <c r="K32" s="1212"/>
      <c r="L32" s="1212"/>
      <c r="M32" s="1212"/>
      <c r="N32" s="1212"/>
      <c r="O32" s="1212"/>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3">
      <c r="B33" s="879" t="s">
        <v>443</v>
      </c>
      <c r="C33" s="880"/>
      <c r="D33" s="880"/>
      <c r="E33" s="880"/>
      <c r="F33" s="880"/>
      <c r="G33" s="922" t="s">
        <v>1524</v>
      </c>
      <c r="H33" s="941"/>
      <c r="I33" s="941"/>
      <c r="J33" s="941"/>
      <c r="K33" s="942"/>
      <c r="L33" s="1003"/>
      <c r="M33" s="1004"/>
      <c r="N33" s="1004"/>
      <c r="O33" s="1005"/>
      <c r="P33" s="872">
        <f>IF(J41&gt;0,J41,V39)</f>
        <v>0</v>
      </c>
      <c r="R33" s="10"/>
      <c r="S33" s="50" t="s">
        <v>1864</v>
      </c>
      <c r="T33" s="50" t="s">
        <v>1304</v>
      </c>
      <c r="U33" s="50" t="s">
        <v>1305</v>
      </c>
      <c r="V33" s="50" t="s">
        <v>1306</v>
      </c>
      <c r="W33" s="6"/>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3">
      <c r="B34" s="791" t="s">
        <v>628</v>
      </c>
      <c r="C34" s="791"/>
      <c r="D34" s="791"/>
      <c r="E34" s="996">
        <f>P8</f>
        <v>0</v>
      </c>
      <c r="F34" s="997"/>
      <c r="G34" s="940" t="s">
        <v>1941</v>
      </c>
      <c r="H34" s="941"/>
      <c r="I34" s="942"/>
      <c r="J34" s="1364"/>
      <c r="K34" s="1365"/>
      <c r="L34" s="1006"/>
      <c r="M34" s="1007"/>
      <c r="N34" s="1007"/>
      <c r="O34" s="1008"/>
      <c r="P34" s="1010"/>
      <c r="R34" s="10"/>
      <c r="S34" s="557">
        <f>E34</f>
        <v>0</v>
      </c>
      <c r="T34" s="147">
        <f>LARGE($S$34:$S$40,1)</f>
        <v>0</v>
      </c>
      <c r="U34" s="553">
        <f>T34+T35*(1-T34)</f>
        <v>0</v>
      </c>
      <c r="V34" s="557">
        <f t="shared" ref="V34:V39" si="0">ROUND(U34,2)</f>
        <v>0</v>
      </c>
      <c r="W34" s="6"/>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3">
      <c r="B35" s="806" t="s">
        <v>1958</v>
      </c>
      <c r="C35" s="806"/>
      <c r="D35" s="806"/>
      <c r="E35" s="770">
        <f>IF(P427&gt;0,0,P21)</f>
        <v>0</v>
      </c>
      <c r="F35" s="746"/>
      <c r="G35" s="1115" t="s">
        <v>2256</v>
      </c>
      <c r="H35" s="1177"/>
      <c r="I35" s="1116"/>
      <c r="J35" s="1364"/>
      <c r="K35" s="1365"/>
      <c r="L35" s="1006"/>
      <c r="M35" s="1007"/>
      <c r="N35" s="1007"/>
      <c r="O35" s="1008"/>
      <c r="P35" s="1010"/>
      <c r="R35" s="10"/>
      <c r="S35" s="147">
        <f>IF(J35&gt;0,J35,E35)</f>
        <v>0</v>
      </c>
      <c r="T35" s="147">
        <f>LARGE($S$34:$S$40,2)</f>
        <v>0</v>
      </c>
      <c r="U35" s="553">
        <f>V34+T36*(1-V34)</f>
        <v>0</v>
      </c>
      <c r="V35" s="557">
        <f t="shared" si="0"/>
        <v>0</v>
      </c>
      <c r="W35" s="6"/>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3">
      <c r="B36" s="806" t="s">
        <v>2016</v>
      </c>
      <c r="C36" s="806"/>
      <c r="D36" s="806"/>
      <c r="E36" s="770">
        <f>P24</f>
        <v>0</v>
      </c>
      <c r="F36" s="746"/>
      <c r="G36" s="1028"/>
      <c r="H36" s="1028"/>
      <c r="I36" s="1028"/>
      <c r="J36" s="1188">
        <f>IF(AND(W36&lt;0.01,W36&gt;0),0.01,ROUND(W36,2))</f>
        <v>0</v>
      </c>
      <c r="K36" s="1188"/>
      <c r="L36" s="1006"/>
      <c r="M36" s="1007"/>
      <c r="N36" s="1007"/>
      <c r="O36" s="1008"/>
      <c r="P36" s="1010"/>
      <c r="R36" s="10"/>
      <c r="S36" s="147">
        <f>IF(J36&gt;0,J36,E36)</f>
        <v>0</v>
      </c>
      <c r="T36" s="147">
        <f>LARGE($S$34:$S$40,3)</f>
        <v>0</v>
      </c>
      <c r="U36" s="553">
        <f>V35+T37*(1-V35)</f>
        <v>0</v>
      </c>
      <c r="V36" s="557">
        <f t="shared" si="0"/>
        <v>0</v>
      </c>
      <c r="W36" s="603">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3">
      <c r="B37" s="757" t="s">
        <v>1226</v>
      </c>
      <c r="C37" s="758"/>
      <c r="D37" s="759"/>
      <c r="E37" s="770">
        <f>P25</f>
        <v>0</v>
      </c>
      <c r="F37" s="746"/>
      <c r="G37" s="1028"/>
      <c r="H37" s="1028"/>
      <c r="I37" s="1028"/>
      <c r="J37" s="1188">
        <f>IF(AND(W37&lt;0.01,W37&gt;0),0.01,ROUND(W37,2))</f>
        <v>0</v>
      </c>
      <c r="K37" s="1188"/>
      <c r="L37" s="972" t="str">
        <f>IF(AND(P21&gt;0,$P$427&gt;0),"The worker has motor loss impairment. No additional impairment value is allowed for reduced range of motion in the same extremity.","")</f>
        <v/>
      </c>
      <c r="M37" s="973"/>
      <c r="N37" s="973"/>
      <c r="O37" s="974"/>
      <c r="P37" s="1010"/>
      <c r="R37" s="10"/>
      <c r="S37" s="147">
        <f>IF(J37&gt;0,J37,E37)</f>
        <v>0</v>
      </c>
      <c r="T37" s="147">
        <f>LARGE($S$34:$S$40,4)</f>
        <v>0</v>
      </c>
      <c r="U37" s="553">
        <f>V36+T38*(1-V36)</f>
        <v>0</v>
      </c>
      <c r="V37" s="557">
        <f t="shared" si="0"/>
        <v>0</v>
      </c>
      <c r="W37" s="603">
        <f t="shared" ref="W37:W38" si="1">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3">
      <c r="B38" s="757" t="s">
        <v>1446</v>
      </c>
      <c r="C38" s="758"/>
      <c r="D38" s="759"/>
      <c r="E38" s="742">
        <f>P28</f>
        <v>0</v>
      </c>
      <c r="F38" s="744"/>
      <c r="G38" s="1028"/>
      <c r="H38" s="1028"/>
      <c r="I38" s="1028"/>
      <c r="J38" s="1188">
        <f>IF(AND(W38&lt;0.01,W38&gt;0),0.01,ROUND(W38,2))</f>
        <v>0</v>
      </c>
      <c r="K38" s="1188"/>
      <c r="L38" s="972"/>
      <c r="M38" s="973"/>
      <c r="N38" s="973"/>
      <c r="O38" s="974"/>
      <c r="P38" s="1010"/>
      <c r="R38" s="10"/>
      <c r="S38" s="147">
        <f>IF(J38&gt;0,J38,E38)</f>
        <v>0</v>
      </c>
      <c r="T38" s="147">
        <f>LARGE($S$34:$S$40,5)</f>
        <v>0</v>
      </c>
      <c r="U38" s="553">
        <f>V37+T39*(1-V37)</f>
        <v>0</v>
      </c>
      <c r="V38" s="557">
        <f t="shared" si="0"/>
        <v>0</v>
      </c>
      <c r="W38" s="603">
        <f t="shared" si="1"/>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3">
      <c r="B39" s="806" t="s">
        <v>1127</v>
      </c>
      <c r="C39" s="806"/>
      <c r="D39" s="806"/>
      <c r="E39" s="770">
        <f>P30</f>
        <v>0</v>
      </c>
      <c r="F39" s="746"/>
      <c r="G39" s="940" t="s">
        <v>1941</v>
      </c>
      <c r="H39" s="941"/>
      <c r="I39" s="942"/>
      <c r="J39" s="1258"/>
      <c r="K39" s="1258"/>
      <c r="L39" s="972"/>
      <c r="M39" s="973"/>
      <c r="N39" s="973"/>
      <c r="O39" s="974"/>
      <c r="P39" s="1010"/>
      <c r="R39" s="10"/>
      <c r="S39" s="557">
        <f>E39</f>
        <v>0</v>
      </c>
      <c r="T39" s="147">
        <f>LARGE($S$34:$S$40,6)</f>
        <v>0</v>
      </c>
      <c r="U39" s="553">
        <f>V38+T40*(1-V38)</f>
        <v>0</v>
      </c>
      <c r="V39" s="557">
        <f t="shared" si="0"/>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3">
      <c r="B40" s="797" t="s">
        <v>1128</v>
      </c>
      <c r="C40" s="798"/>
      <c r="D40" s="799"/>
      <c r="E40" s="1079">
        <f>P31</f>
        <v>0</v>
      </c>
      <c r="F40" s="1187"/>
      <c r="G40" s="1166" t="s">
        <v>1941</v>
      </c>
      <c r="H40" s="1161"/>
      <c r="I40" s="1167"/>
      <c r="J40" s="1259"/>
      <c r="K40" s="1259"/>
      <c r="L40" s="972"/>
      <c r="M40" s="973"/>
      <c r="N40" s="973"/>
      <c r="O40" s="974"/>
      <c r="P40" s="1010"/>
      <c r="R40" s="10"/>
      <c r="S40" s="557">
        <f>E40</f>
        <v>0</v>
      </c>
      <c r="T40" s="147">
        <f>LARGE($S$34:$S$40,7)</f>
        <v>0</v>
      </c>
      <c r="U40" s="96"/>
      <c r="V40" s="129"/>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3">
      <c r="B41" s="959" t="s">
        <v>444</v>
      </c>
      <c r="C41" s="959"/>
      <c r="D41" s="959"/>
      <c r="E41" s="959"/>
      <c r="F41" s="959"/>
      <c r="G41" s="959"/>
      <c r="H41" s="959"/>
      <c r="I41" s="959"/>
      <c r="J41" s="959"/>
      <c r="K41" s="959"/>
      <c r="L41" s="959"/>
      <c r="M41" s="959"/>
      <c r="N41" s="959"/>
      <c r="O41" s="959"/>
      <c r="P41" s="996"/>
      <c r="R41" s="10"/>
      <c r="S41" s="14"/>
      <c r="T41" s="96"/>
      <c r="U41" s="129"/>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3">
      <c r="B42" s="792"/>
      <c r="C42" s="792"/>
      <c r="D42" s="792"/>
      <c r="E42" s="792"/>
      <c r="F42" s="792"/>
      <c r="G42" s="792"/>
      <c r="H42" s="792"/>
      <c r="I42" s="792"/>
      <c r="J42" s="792"/>
      <c r="K42" s="792"/>
      <c r="L42" s="792"/>
      <c r="M42" s="792"/>
      <c r="N42" s="792"/>
      <c r="O42" s="792"/>
      <c r="P42" s="792"/>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3">
      <c r="B43" s="792"/>
      <c r="C43" s="792"/>
      <c r="D43" s="792"/>
      <c r="E43" s="792"/>
      <c r="F43" s="792"/>
      <c r="G43" s="792"/>
      <c r="H43" s="792"/>
      <c r="I43" s="792"/>
      <c r="J43" s="792"/>
      <c r="K43" s="792"/>
      <c r="L43" s="792"/>
      <c r="M43" s="792"/>
      <c r="N43" s="792"/>
      <c r="O43" s="792"/>
      <c r="P43" s="792"/>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3">
      <c r="B44" s="947" t="s">
        <v>1129</v>
      </c>
      <c r="C44" s="878"/>
      <c r="D44" s="878"/>
      <c r="E44" s="878"/>
      <c r="F44" s="878"/>
      <c r="G44" s="878"/>
      <c r="H44" s="878"/>
      <c r="I44" s="878"/>
      <c r="J44" s="878"/>
      <c r="K44" s="878"/>
      <c r="L44" s="878"/>
      <c r="M44" s="878"/>
      <c r="N44" s="878"/>
      <c r="O44" s="878"/>
      <c r="P44" s="878"/>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3">
      <c r="B45" s="925" t="s">
        <v>1130</v>
      </c>
      <c r="C45" s="925"/>
      <c r="D45" s="925"/>
      <c r="E45" s="925"/>
      <c r="F45" s="925"/>
      <c r="G45" s="925"/>
      <c r="H45" s="925"/>
      <c r="I45" s="925"/>
      <c r="J45" s="925"/>
      <c r="K45" s="925"/>
      <c r="L45" s="925"/>
      <c r="M45" s="925"/>
      <c r="N45" s="925"/>
      <c r="O45" s="925"/>
      <c r="P45" s="925"/>
      <c r="R45" s="10"/>
      <c r="S45" s="10"/>
      <c r="T45" s="77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3">
      <c r="B46" s="1014"/>
      <c r="C46" s="1014"/>
      <c r="D46" s="1014"/>
      <c r="E46" s="1014"/>
      <c r="F46" s="1014"/>
      <c r="G46" s="1014"/>
      <c r="H46" s="1014"/>
      <c r="I46" s="1014"/>
      <c r="J46" s="1014"/>
      <c r="K46" s="1014"/>
      <c r="L46" s="1014"/>
      <c r="M46" s="1014"/>
      <c r="N46" s="1014"/>
      <c r="O46" s="1014"/>
      <c r="P46" s="21">
        <f>SUMIF(U45:AO45,B46,U46:AO46)</f>
        <v>0</v>
      </c>
      <c r="R46" s="10"/>
      <c r="S46" s="10"/>
      <c r="T46" s="77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35">
      <c r="B47" s="1244"/>
      <c r="C47" s="1244"/>
      <c r="D47" s="1244"/>
      <c r="E47" s="1244"/>
      <c r="F47" s="1244"/>
      <c r="G47" s="1244"/>
      <c r="H47" s="1244"/>
      <c r="I47" s="1244"/>
      <c r="J47" s="1244"/>
      <c r="K47" s="1244"/>
      <c r="L47" s="1244"/>
      <c r="M47" s="1244"/>
      <c r="N47" s="1244"/>
      <c r="O47" s="1244"/>
      <c r="P47" s="1244"/>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3">
      <c r="B48" s="1166" t="s">
        <v>1544</v>
      </c>
      <c r="C48" s="1161"/>
      <c r="D48" s="1161"/>
      <c r="E48" s="1161"/>
      <c r="F48" s="1161"/>
      <c r="G48" s="1161"/>
      <c r="H48" s="1161"/>
      <c r="I48" s="1161"/>
      <c r="J48" s="1161"/>
      <c r="K48" s="1161"/>
      <c r="L48" s="1161"/>
      <c r="M48" s="1161"/>
      <c r="N48" s="1161"/>
      <c r="O48" s="1161"/>
      <c r="P48" s="845"/>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3">
      <c r="B49" s="259" t="s">
        <v>1545</v>
      </c>
      <c r="C49" s="1018"/>
      <c r="D49" s="1018"/>
      <c r="E49" s="1018"/>
      <c r="F49" s="1018"/>
      <c r="G49" s="1018"/>
      <c r="H49" s="1018"/>
      <c r="I49" s="1018"/>
      <c r="J49" s="1018"/>
      <c r="K49" s="1018"/>
      <c r="L49" s="1046"/>
      <c r="M49" s="1046"/>
      <c r="N49" s="1046"/>
      <c r="O49" s="64">
        <f>IF(C49=T49,0.45,IF(C49=U49,0.3,IF(C49=V49,0.45,0)))</f>
        <v>0</v>
      </c>
      <c r="P49" s="846"/>
      <c r="R49" s="927"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3">
      <c r="B50" s="259" t="s">
        <v>1705</v>
      </c>
      <c r="C50" s="1018"/>
      <c r="D50" s="1018"/>
      <c r="E50" s="1018"/>
      <c r="F50" s="1018"/>
      <c r="G50" s="1018"/>
      <c r="H50" s="1018"/>
      <c r="I50" s="1018"/>
      <c r="J50" s="1018"/>
      <c r="K50" s="1018"/>
      <c r="L50" s="1046"/>
      <c r="M50" s="1046"/>
      <c r="N50" s="1046"/>
      <c r="O50" s="64">
        <f>IF(C50=T50,0.8,IF(C50=U50,0.45,IF(C50=V50,0.8,0)))</f>
        <v>0</v>
      </c>
      <c r="P50" s="846"/>
      <c r="R50" s="927"/>
      <c r="S50" s="50" t="s">
        <v>1941</v>
      </c>
      <c r="T50" s="50" t="s">
        <v>1546</v>
      </c>
      <c r="U50" s="259" t="s">
        <v>1547</v>
      </c>
      <c r="V50" s="50" t="s">
        <v>1548</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3">
      <c r="B51" s="1276"/>
      <c r="C51" s="1211"/>
      <c r="D51" s="1211"/>
      <c r="E51" s="1211"/>
      <c r="F51" s="1211"/>
      <c r="G51" s="1211"/>
      <c r="H51" s="1211"/>
      <c r="I51" s="1211"/>
      <c r="J51" s="1211"/>
      <c r="K51" s="1211"/>
      <c r="L51" s="1211"/>
      <c r="M51" s="1211"/>
      <c r="N51" s="1211"/>
      <c r="O51" s="1211"/>
      <c r="P51" s="846"/>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3">
      <c r="B52" s="201"/>
      <c r="C52" s="940" t="s">
        <v>1595</v>
      </c>
      <c r="D52" s="941"/>
      <c r="E52" s="941"/>
      <c r="F52" s="941"/>
      <c r="G52" s="927" t="s">
        <v>1081</v>
      </c>
      <c r="H52" s="927"/>
      <c r="I52" s="927"/>
      <c r="J52" s="927"/>
      <c r="K52" s="927"/>
      <c r="L52" s="792"/>
      <c r="M52" s="792"/>
      <c r="N52" s="792"/>
      <c r="O52" s="792"/>
      <c r="P52" s="846"/>
      <c r="R52" s="10"/>
      <c r="T52" s="927" t="s">
        <v>1257</v>
      </c>
      <c r="U52" s="927"/>
      <c r="V52" s="10"/>
      <c r="W52" s="10"/>
      <c r="X52" s="10"/>
      <c r="Y52" s="922" t="s">
        <v>2259</v>
      </c>
      <c r="Z52" s="926"/>
      <c r="AA52" s="923"/>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3">
      <c r="B53" s="297" t="s">
        <v>1706</v>
      </c>
      <c r="C53" s="925" t="s">
        <v>365</v>
      </c>
      <c r="D53" s="925"/>
      <c r="E53" s="925" t="s">
        <v>1795</v>
      </c>
      <c r="F53" s="925"/>
      <c r="G53" s="925" t="s">
        <v>365</v>
      </c>
      <c r="H53" s="925"/>
      <c r="I53" s="925"/>
      <c r="J53" s="925" t="s">
        <v>1795</v>
      </c>
      <c r="K53" s="925"/>
      <c r="L53" s="1046"/>
      <c r="M53" s="1046"/>
      <c r="N53" s="1046"/>
      <c r="O53" s="1019"/>
      <c r="P53" s="846"/>
      <c r="R53" s="10"/>
      <c r="S53" s="128" t="s">
        <v>1572</v>
      </c>
      <c r="T53" s="259" t="s">
        <v>1595</v>
      </c>
      <c r="U53" s="259" t="s">
        <v>1596</v>
      </c>
      <c r="V53" s="925" t="s">
        <v>1083</v>
      </c>
      <c r="W53" s="925"/>
      <c r="Y53" s="18">
        <f>IF(OR(O49&gt;0,O50&gt;0,E55&gt;0,E57&gt;0),1,0)</f>
        <v>0</v>
      </c>
      <c r="Z53" s="641">
        <f>IF(AND(OR(O49&gt;0,O50&gt;0),OR(E54&gt;0,E56&gt;0),C59&gt;0),C59*O58,O58)</f>
        <v>0</v>
      </c>
      <c r="AA53" s="639">
        <f>IF(AND(Y53=0,C59&gt;0),C59*AB58,AB58)</f>
        <v>0</v>
      </c>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3">
      <c r="B54" s="297" t="s">
        <v>1334</v>
      </c>
      <c r="C54" s="1018"/>
      <c r="D54" s="1018"/>
      <c r="E54" s="1202">
        <f>LETable!AT12</f>
        <v>0</v>
      </c>
      <c r="F54" s="1202"/>
      <c r="G54" s="708"/>
      <c r="H54" s="708"/>
      <c r="I54" s="708"/>
      <c r="J54" s="1206">
        <f>IF(C54="",0,IF(OR(C54&lt;=0,G54&lt;=0),E54,IF(G54&lt;C54,0,LETable!AY12)))</f>
        <v>0</v>
      </c>
      <c r="K54" s="1206"/>
      <c r="L54" s="1256" t="str">
        <f>IF(OR(C54="NA",G54="NA"),"",IF(AND(C54&lt;&gt;"",G54=""),"Enter contralateral or NA.",IF(AND(C54="",G54&lt;&gt;""),"Need data","")))</f>
        <v/>
      </c>
      <c r="M54" s="1256"/>
      <c r="N54" s="1256"/>
      <c r="O54" s="1257"/>
      <c r="P54" s="846"/>
      <c r="S54" s="50">
        <v>40</v>
      </c>
      <c r="T54" s="50" t="str">
        <f>IF(OR(C54="",C54="NA"),"",IF(C54&gt;S54,S54,IF(C54&lt;0,0,C54)))</f>
        <v/>
      </c>
      <c r="U54" s="50" t="str">
        <f>IF(OR(G54="",G54="NA"),"",IF(G54&gt;S54,S54,IF(G54&lt;0,0,G54)))</f>
        <v/>
      </c>
      <c r="V54" s="562" t="str">
        <f>IF(W54="","",ROUND(W54,0))</f>
        <v/>
      </c>
      <c r="W54" s="563"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3">
      <c r="B55" s="297" t="s">
        <v>1335</v>
      </c>
      <c r="C55" s="1268"/>
      <c r="D55" s="1268"/>
      <c r="E55" s="1202">
        <f>IF(AND(C55&lt;&gt;"",C55&lt;&gt;"NA",C54&lt;&gt;"NA",C54&lt;&gt;""),"ERROR",IF(AND(C55&lt;&gt;"",C55&lt;&gt;"NA",C56&lt;&gt;"",C56&lt;&gt;"NA"),"ERROR",LETable!AT13))</f>
        <v>0</v>
      </c>
      <c r="F55" s="1202"/>
      <c r="G55" s="946" t="str">
        <f>IF(E55="ERROR","Error: Cannot rate ROM and ankylosis.","")</f>
        <v/>
      </c>
      <c r="H55" s="946"/>
      <c r="I55" s="946"/>
      <c r="J55" s="946"/>
      <c r="K55" s="946"/>
      <c r="L55" s="946"/>
      <c r="M55" s="946"/>
      <c r="N55" s="946"/>
      <c r="O55" s="1073"/>
      <c r="P55" s="846"/>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3">
      <c r="B56" s="128" t="s">
        <v>1255</v>
      </c>
      <c r="C56" s="1268"/>
      <c r="D56" s="1268"/>
      <c r="E56" s="1202">
        <f>LETable!AT14</f>
        <v>0</v>
      </c>
      <c r="F56" s="1202"/>
      <c r="G56" s="708" t="s">
        <v>1941</v>
      </c>
      <c r="H56" s="708"/>
      <c r="I56" s="708"/>
      <c r="J56" s="1206">
        <f>IF(C56="",0,IF(OR(C56&lt;=0,G56&lt;=0),E56,IF(G56&lt;C56,0,LETable!AY14)))</f>
        <v>0</v>
      </c>
      <c r="K56" s="1206"/>
      <c r="L56" s="1256" t="str">
        <f>IF(OR(C56="NA",G56="NA"),"",IF(AND(C56&lt;&gt;"",G56=""),"Enter contralateral or NA.",IF(AND(C56="",G56&lt;&gt;""),"Need data","")))</f>
        <v/>
      </c>
      <c r="M56" s="1256"/>
      <c r="N56" s="1256"/>
      <c r="O56" s="1257"/>
      <c r="P56" s="846"/>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3">
      <c r="B57" s="296" t="s">
        <v>1839</v>
      </c>
      <c r="C57" s="1260"/>
      <c r="D57" s="1261"/>
      <c r="E57" s="1202">
        <f>IF(AND(C57&lt;&gt;"",C57&lt;&gt;"NA",C56&lt;&gt;"NA",C56&lt;&gt;""),"ERROR",IF(AND(C57&lt;&gt;"",C57&lt;&gt;"NA",C54&lt;&gt;"",C54&lt;&gt;"NA"),"ERROR",LETable!AT15))</f>
        <v>0</v>
      </c>
      <c r="F57" s="1202"/>
      <c r="G57" s="1203" t="str">
        <f>IF(E57="ERROR","Error: Cannot rate ROM and ankylosis.",IF(AND(C55&lt;&gt;"",C55&lt;&gt;"NA",C57&lt;&gt;"",C57&lt;&gt;"NA"),"Multiple ankylosis values; use higher value only.",""))</f>
        <v/>
      </c>
      <c r="H57" s="1204"/>
      <c r="I57" s="1204"/>
      <c r="J57" s="1204"/>
      <c r="K57" s="1204"/>
      <c r="L57" s="1204"/>
      <c r="M57" s="1204"/>
      <c r="N57" s="1204"/>
      <c r="O57" s="1205"/>
      <c r="P57" s="846"/>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3">
      <c r="B58" s="636"/>
      <c r="C58" s="637"/>
      <c r="D58" s="637"/>
      <c r="E58" s="998" t="str">
        <f>IF(AND(OR(O49&gt;0,O50&gt;0,E55&gt;0,E57&gt;0),C59&gt;0),"Note: Ankylosis impairment is not apportioned.","")</f>
        <v/>
      </c>
      <c r="F58" s="999"/>
      <c r="G58" s="999"/>
      <c r="H58" s="999"/>
      <c r="I58" s="999"/>
      <c r="J58" s="1000"/>
      <c r="K58" s="1099" t="s">
        <v>1841</v>
      </c>
      <c r="L58" s="1100"/>
      <c r="M58" s="1100"/>
      <c r="N58" s="1101"/>
      <c r="O58" s="59">
        <f>IF(OR(E55="ERROR",E57="ERROR"),"ERROR",IF(R58&gt;1,1,R58))</f>
        <v>0</v>
      </c>
      <c r="P58" s="847"/>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3">
      <c r="B59" s="13" t="s">
        <v>2255</v>
      </c>
      <c r="C59" s="935"/>
      <c r="D59" s="960"/>
      <c r="E59" s="975"/>
      <c r="F59" s="976"/>
      <c r="G59" s="976"/>
      <c r="H59" s="976"/>
      <c r="I59" s="976"/>
      <c r="J59" s="977"/>
      <c r="K59" s="1099" t="s">
        <v>1707</v>
      </c>
      <c r="L59" s="1100"/>
      <c r="M59" s="1100"/>
      <c r="N59" s="1100"/>
      <c r="O59" s="1101"/>
      <c r="P59" s="248">
        <f>IF(O58="ERROR","ERROR",IF(AND(AA53&gt;0,AA53&lt;0.01),0.01,ROUND(AA53,2)))</f>
        <v>0</v>
      </c>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3">
      <c r="B60" s="1211"/>
      <c r="C60" s="1211"/>
      <c r="D60" s="1211"/>
      <c r="E60" s="1211"/>
      <c r="F60" s="1211"/>
      <c r="G60" s="1211"/>
      <c r="H60" s="1211"/>
      <c r="I60" s="1211"/>
      <c r="J60" s="1211"/>
      <c r="K60" s="1211"/>
      <c r="L60" s="1211"/>
      <c r="M60" s="1211"/>
      <c r="N60" s="1211"/>
      <c r="O60" s="1211"/>
      <c r="P60" s="384"/>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3">
      <c r="B61" s="940" t="s">
        <v>2005</v>
      </c>
      <c r="C61" s="941"/>
      <c r="D61" s="941"/>
      <c r="E61" s="941"/>
      <c r="F61" s="941"/>
      <c r="G61" s="941"/>
      <c r="H61" s="941"/>
      <c r="I61" s="941"/>
      <c r="J61" s="941"/>
      <c r="K61" s="941"/>
      <c r="L61" s="941"/>
      <c r="M61" s="941"/>
      <c r="N61" s="941"/>
      <c r="O61" s="941"/>
      <c r="P61" s="385"/>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3">
      <c r="B62" s="308" t="s">
        <v>2011</v>
      </c>
      <c r="C62" s="1270"/>
      <c r="D62" s="1271"/>
      <c r="E62" s="1271"/>
      <c r="F62" s="1271"/>
      <c r="G62" s="1271"/>
      <c r="H62" s="1271"/>
      <c r="I62" s="1271"/>
      <c r="J62" s="1271"/>
      <c r="K62" s="1271"/>
      <c r="L62" s="1271"/>
      <c r="M62" s="1271"/>
      <c r="N62" s="1271"/>
      <c r="O62" s="66"/>
      <c r="P62" s="49">
        <f>IF($W$239&gt;0,0,R62)</f>
        <v>0</v>
      </c>
      <c r="R62" s="147">
        <f>IF(C62=S62,0,IF(C62=T62,0.05,IF(C62=U62,0.1,0)))</f>
        <v>0</v>
      </c>
      <c r="S62" s="50" t="s">
        <v>1941</v>
      </c>
      <c r="T62" s="50" t="s">
        <v>1784</v>
      </c>
      <c r="U62" s="50" t="s">
        <v>1785</v>
      </c>
      <c r="V62" s="97"/>
      <c r="W62" s="96"/>
      <c r="X62" s="133"/>
      <c r="Y62" s="1262"/>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3">
      <c r="B63" s="308" t="s">
        <v>2012</v>
      </c>
      <c r="C63" s="1270"/>
      <c r="D63" s="1271"/>
      <c r="E63" s="1271"/>
      <c r="F63" s="1271"/>
      <c r="G63" s="1271"/>
      <c r="H63" s="1271"/>
      <c r="I63" s="1271"/>
      <c r="J63" s="1271"/>
      <c r="K63" s="1271"/>
      <c r="L63" s="1271"/>
      <c r="M63" s="1271"/>
      <c r="N63" s="1271"/>
      <c r="O63" s="66"/>
      <c r="P63" s="21">
        <f>IF($W$239&gt;0,0,R63)</f>
        <v>0</v>
      </c>
      <c r="R63" s="147">
        <f>IF(C63=S63,0,IF(C63=T63,0.05,IF(C63=U63,0.1,0)))</f>
        <v>0</v>
      </c>
      <c r="S63" s="50" t="s">
        <v>1941</v>
      </c>
      <c r="T63" s="50" t="s">
        <v>1996</v>
      </c>
      <c r="U63" s="50" t="s">
        <v>1997</v>
      </c>
      <c r="V63" s="97"/>
      <c r="W63" s="96"/>
      <c r="X63" s="133"/>
      <c r="Y63" s="1262"/>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3">
      <c r="B64" s="1056" t="str">
        <f>IF(AND(OR(R62&gt;0,R63&gt;0),$W$239&gt;0),"A value has been given for loss of sensation or hypersensitivity in the foot. No additional value is allowed for the toes.","")</f>
        <v/>
      </c>
      <c r="C64" s="1056"/>
      <c r="D64" s="1056"/>
      <c r="E64" s="1056"/>
      <c r="F64" s="1056"/>
      <c r="G64" s="1056"/>
      <c r="H64" s="1056"/>
      <c r="I64" s="1056"/>
      <c r="J64" s="1056"/>
      <c r="K64" s="1056"/>
      <c r="L64" s="1056"/>
      <c r="M64" s="1056"/>
      <c r="N64" s="1056"/>
      <c r="O64" s="1056"/>
      <c r="P64" s="529"/>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3">
      <c r="A65" s="2"/>
      <c r="B65" s="712"/>
      <c r="C65" s="792"/>
      <c r="D65" s="792"/>
      <c r="E65" s="792"/>
      <c r="F65" s="792"/>
      <c r="G65" s="792"/>
      <c r="H65" s="792"/>
      <c r="I65" s="792"/>
      <c r="J65" s="792"/>
      <c r="K65" s="792"/>
      <c r="L65" s="792"/>
      <c r="M65" s="792"/>
      <c r="N65" s="792"/>
      <c r="O65" s="792"/>
      <c r="P65" s="63"/>
      <c r="Q65" s="2"/>
      <c r="R65" s="10"/>
      <c r="S65" s="10"/>
      <c r="Y65" s="10"/>
      <c r="Z65" s="739"/>
      <c r="AA65" s="739"/>
      <c r="AB65" s="739"/>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3">
      <c r="A66" s="2"/>
      <c r="B66" s="776" t="s">
        <v>2015</v>
      </c>
      <c r="C66" s="776"/>
      <c r="D66" s="776"/>
      <c r="E66" s="776"/>
      <c r="F66" s="776"/>
      <c r="G66" s="776"/>
      <c r="H66" s="776"/>
      <c r="I66" s="776"/>
      <c r="J66" s="776"/>
      <c r="K66" s="776"/>
      <c r="L66" s="776"/>
      <c r="M66" s="776"/>
      <c r="N66" s="708"/>
      <c r="O66" s="708"/>
      <c r="P66" s="21">
        <f>IF(N66=T66,0.03,IF(N66=U66,0.15,IF(N66=V66,0.38,IF(N66=W66,0.68,IF(N66=X66,0.9,0)))))</f>
        <v>0</v>
      </c>
      <c r="Q66" s="2"/>
      <c r="R66" s="878" t="s">
        <v>2196</v>
      </c>
      <c r="S66" s="878"/>
      <c r="T66" s="50" t="s">
        <v>1968</v>
      </c>
      <c r="U66" s="50" t="s">
        <v>1969</v>
      </c>
      <c r="V66" s="147" t="s">
        <v>1971</v>
      </c>
      <c r="W66" s="50" t="s">
        <v>945</v>
      </c>
      <c r="X66" s="147" t="s">
        <v>558</v>
      </c>
      <c r="Y66" s="10"/>
      <c r="Z66" s="739"/>
      <c r="AA66" s="739"/>
      <c r="AB66" s="739"/>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3">
      <c r="B67" s="527"/>
      <c r="C67" s="527"/>
      <c r="D67" s="527"/>
      <c r="E67" s="527"/>
      <c r="F67" s="527"/>
      <c r="G67" s="527"/>
      <c r="H67" s="527"/>
      <c r="I67" s="527"/>
      <c r="J67" s="527"/>
      <c r="K67" s="527"/>
      <c r="L67" s="527"/>
      <c r="M67" s="527"/>
      <c r="N67" s="527"/>
      <c r="O67" s="527"/>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3">
      <c r="A68" s="15"/>
      <c r="B68" s="259" t="s">
        <v>1708</v>
      </c>
      <c r="C68" s="1213"/>
      <c r="D68" s="1213"/>
      <c r="E68" s="757" t="s">
        <v>1709</v>
      </c>
      <c r="F68" s="758"/>
      <c r="G68" s="758"/>
      <c r="H68" s="758"/>
      <c r="I68" s="758"/>
      <c r="J68" s="758"/>
      <c r="K68" s="758"/>
      <c r="L68" s="758"/>
      <c r="M68" s="758"/>
      <c r="N68" s="758"/>
      <c r="O68" s="758"/>
      <c r="P68" s="248">
        <f>IF(T68=1,0.15,0)</f>
        <v>0</v>
      </c>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3">
      <c r="B69" s="259" t="s">
        <v>1710</v>
      </c>
      <c r="C69" s="1213"/>
      <c r="D69" s="1213"/>
      <c r="E69" s="757" t="s">
        <v>1711</v>
      </c>
      <c r="F69" s="758"/>
      <c r="G69" s="758"/>
      <c r="H69" s="758"/>
      <c r="I69" s="758"/>
      <c r="J69" s="758"/>
      <c r="K69" s="758"/>
      <c r="L69" s="758"/>
      <c r="M69" s="758"/>
      <c r="N69" s="758"/>
      <c r="O69" s="758"/>
      <c r="P69" s="248">
        <f>IF(T69=1,0.25,0)</f>
        <v>0</v>
      </c>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3">
      <c r="B70" s="386" t="s">
        <v>626</v>
      </c>
      <c r="C70" s="1025"/>
      <c r="D70" s="1025"/>
      <c r="E70" s="937" t="s">
        <v>627</v>
      </c>
      <c r="F70" s="938"/>
      <c r="G70" s="938"/>
      <c r="H70" s="938"/>
      <c r="I70" s="938"/>
      <c r="J70" s="938"/>
      <c r="K70" s="938"/>
      <c r="L70" s="938"/>
      <c r="M70" s="938"/>
      <c r="N70" s="938"/>
      <c r="O70" s="938"/>
      <c r="P70" s="278">
        <f>IF(T70=1,0.25,0)</f>
        <v>0</v>
      </c>
      <c r="R70" s="10"/>
      <c r="S70" s="570"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3">
      <c r="B71" s="1212"/>
      <c r="C71" s="1212"/>
      <c r="D71" s="1212"/>
      <c r="E71" s="1212"/>
      <c r="F71" s="1212"/>
      <c r="G71" s="1212"/>
      <c r="H71" s="1212"/>
      <c r="I71" s="1212"/>
      <c r="J71" s="1212"/>
      <c r="K71" s="1212"/>
      <c r="L71" s="1212"/>
      <c r="M71" s="1212"/>
      <c r="N71" s="1212"/>
      <c r="O71" s="1212"/>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3">
      <c r="B72" s="879" t="s">
        <v>445</v>
      </c>
      <c r="C72" s="880"/>
      <c r="D72" s="880"/>
      <c r="E72" s="880"/>
      <c r="F72" s="880"/>
      <c r="G72" s="922" t="s">
        <v>1524</v>
      </c>
      <c r="H72" s="941"/>
      <c r="I72" s="941"/>
      <c r="J72" s="941"/>
      <c r="K72" s="942"/>
      <c r="L72" s="1367"/>
      <c r="M72" s="1368"/>
      <c r="N72" s="1368"/>
      <c r="O72" s="1369"/>
      <c r="P72" s="872">
        <f>IF(J81&gt;0,J81,V79)</f>
        <v>0</v>
      </c>
      <c r="R72" s="10"/>
      <c r="S72" s="50" t="s">
        <v>1864</v>
      </c>
      <c r="T72" s="50" t="s">
        <v>1304</v>
      </c>
      <c r="U72" s="50" t="s">
        <v>1305</v>
      </c>
      <c r="V72" s="50" t="s">
        <v>1306</v>
      </c>
      <c r="W72" s="6"/>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3">
      <c r="B73" s="791" t="s">
        <v>628</v>
      </c>
      <c r="C73" s="791"/>
      <c r="D73" s="791"/>
      <c r="E73" s="996">
        <f>P46</f>
        <v>0</v>
      </c>
      <c r="F73" s="997"/>
      <c r="G73" s="940" t="s">
        <v>1941</v>
      </c>
      <c r="H73" s="941"/>
      <c r="I73" s="942"/>
      <c r="J73" s="925"/>
      <c r="K73" s="925"/>
      <c r="L73" s="1003"/>
      <c r="M73" s="1004"/>
      <c r="N73" s="1004"/>
      <c r="O73" s="1005"/>
      <c r="P73" s="1010"/>
      <c r="R73" s="10"/>
      <c r="S73" s="557">
        <f>E73</f>
        <v>0</v>
      </c>
      <c r="T73" s="147">
        <f>LARGE($S$73:$S$80,1)</f>
        <v>0</v>
      </c>
      <c r="U73" s="553">
        <f>T73+T74*(1-T73)</f>
        <v>0</v>
      </c>
      <c r="V73" s="557">
        <f t="shared" ref="V73:V79" si="2">ROUND(U73,2)</f>
        <v>0</v>
      </c>
      <c r="W73" s="6"/>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3">
      <c r="B74" s="806" t="s">
        <v>1958</v>
      </c>
      <c r="C74" s="806"/>
      <c r="D74" s="806"/>
      <c r="E74" s="770">
        <f>IF(P427&gt;0,0,P59)</f>
        <v>0</v>
      </c>
      <c r="F74" s="746"/>
      <c r="G74" s="1115" t="s">
        <v>2256</v>
      </c>
      <c r="H74" s="1177"/>
      <c r="I74" s="1116"/>
      <c r="J74" s="925"/>
      <c r="K74" s="925"/>
      <c r="L74" s="1006"/>
      <c r="M74" s="1007"/>
      <c r="N74" s="1007"/>
      <c r="O74" s="1008"/>
      <c r="P74" s="1010"/>
      <c r="R74" s="10"/>
      <c r="S74" s="147">
        <f>IF(J74&gt;0,J74,E74)</f>
        <v>0</v>
      </c>
      <c r="T74" s="147">
        <f>LARGE($S$73:$S$80,2)</f>
        <v>0</v>
      </c>
      <c r="U74" s="553">
        <f t="shared" ref="U74:U79" si="3">V73+T75*(1-V73)</f>
        <v>0</v>
      </c>
      <c r="V74" s="557">
        <f t="shared" si="2"/>
        <v>0</v>
      </c>
      <c r="W74" s="6"/>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3">
      <c r="B75" s="806" t="s">
        <v>2016</v>
      </c>
      <c r="C75" s="806"/>
      <c r="D75" s="806"/>
      <c r="E75" s="770">
        <f>P62</f>
        <v>0</v>
      </c>
      <c r="F75" s="746"/>
      <c r="G75" s="1028"/>
      <c r="H75" s="1028"/>
      <c r="I75" s="1028"/>
      <c r="J75" s="1188">
        <f>IF(AND(W75&lt;0.01,W75&gt;0),0.01,ROUND(W75,2))</f>
        <v>0</v>
      </c>
      <c r="K75" s="1188"/>
      <c r="L75" s="633"/>
      <c r="M75" s="634"/>
      <c r="N75" s="634"/>
      <c r="O75" s="635"/>
      <c r="P75" s="1010"/>
      <c r="R75" s="10"/>
      <c r="S75" s="147">
        <f>IF(J75&gt;0,J75,E75)</f>
        <v>0</v>
      </c>
      <c r="T75" s="147">
        <f>LARGE($S$73:$S$80,3)</f>
        <v>0</v>
      </c>
      <c r="U75" s="553">
        <f t="shared" si="3"/>
        <v>0</v>
      </c>
      <c r="V75" s="557">
        <f t="shared" si="2"/>
        <v>0</v>
      </c>
      <c r="W75" s="603">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3">
      <c r="B76" s="757" t="s">
        <v>1226</v>
      </c>
      <c r="C76" s="758"/>
      <c r="D76" s="759"/>
      <c r="E76" s="770">
        <f>P63</f>
        <v>0</v>
      </c>
      <c r="F76" s="746"/>
      <c r="G76" s="1028"/>
      <c r="H76" s="1028"/>
      <c r="I76" s="1028"/>
      <c r="J76" s="1188">
        <f>IF(AND(W76&lt;0.01,W76&gt;0),0.01,ROUND(W76,2))</f>
        <v>0</v>
      </c>
      <c r="K76" s="1188"/>
      <c r="L76" s="633"/>
      <c r="M76" s="634"/>
      <c r="N76" s="634"/>
      <c r="O76" s="635"/>
      <c r="P76" s="1010"/>
      <c r="R76" s="10"/>
      <c r="S76" s="147">
        <f>IF(J76&gt;0,J76,E76)</f>
        <v>0</v>
      </c>
      <c r="T76" s="147">
        <f>LARGE($S$73:$S$80,4)</f>
        <v>0</v>
      </c>
      <c r="U76" s="553">
        <f t="shared" si="3"/>
        <v>0</v>
      </c>
      <c r="V76" s="557">
        <f t="shared" si="2"/>
        <v>0</v>
      </c>
      <c r="W76" s="603">
        <f t="shared" ref="W76:W77" si="4">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3">
      <c r="B77" s="757" t="s">
        <v>1446</v>
      </c>
      <c r="C77" s="758"/>
      <c r="D77" s="759"/>
      <c r="E77" s="742">
        <f>P66</f>
        <v>0</v>
      </c>
      <c r="F77" s="744"/>
      <c r="G77" s="1028"/>
      <c r="H77" s="1028"/>
      <c r="I77" s="1028"/>
      <c r="J77" s="1188">
        <f>IF(AND(W77&lt;0.01,W77&gt;0),0.01,ROUND(W77,2))</f>
        <v>0</v>
      </c>
      <c r="K77" s="1188"/>
      <c r="L77" s="972" t="str">
        <f>IF(AND(P59&gt;0,$P$427&gt;0),"The worker has motor loss impairment. No additional impairment value is allowed for reduced range of motion in the same extremity.","")</f>
        <v/>
      </c>
      <c r="M77" s="973"/>
      <c r="N77" s="973"/>
      <c r="O77" s="974"/>
      <c r="P77" s="1010"/>
      <c r="R77" s="10"/>
      <c r="S77" s="147">
        <f>IF(J77&gt;0,J77,E77)</f>
        <v>0</v>
      </c>
      <c r="T77" s="147">
        <f>LARGE($S$73:$S$80,5)</f>
        <v>0</v>
      </c>
      <c r="U77" s="553">
        <f t="shared" si="3"/>
        <v>0</v>
      </c>
      <c r="V77" s="557">
        <f t="shared" si="2"/>
        <v>0</v>
      </c>
      <c r="W77" s="603">
        <f t="shared" si="4"/>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3">
      <c r="B78" s="806" t="s">
        <v>1712</v>
      </c>
      <c r="C78" s="806"/>
      <c r="D78" s="806"/>
      <c r="E78" s="770">
        <f>P68</f>
        <v>0</v>
      </c>
      <c r="F78" s="746"/>
      <c r="G78" s="940" t="s">
        <v>1941</v>
      </c>
      <c r="H78" s="941"/>
      <c r="I78" s="942"/>
      <c r="J78" s="925"/>
      <c r="K78" s="925"/>
      <c r="L78" s="972"/>
      <c r="M78" s="973"/>
      <c r="N78" s="973"/>
      <c r="O78" s="974"/>
      <c r="P78" s="1010"/>
      <c r="R78" s="10"/>
      <c r="S78" s="557">
        <f>E78</f>
        <v>0</v>
      </c>
      <c r="T78" s="147">
        <f>LARGE($S$73:$S$80,6)</f>
        <v>0</v>
      </c>
      <c r="U78" s="553">
        <f t="shared" si="3"/>
        <v>0</v>
      </c>
      <c r="V78" s="557">
        <f t="shared" si="2"/>
        <v>0</v>
      </c>
      <c r="W78" s="10"/>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3">
      <c r="B79" s="757" t="s">
        <v>1713</v>
      </c>
      <c r="C79" s="758"/>
      <c r="D79" s="759"/>
      <c r="E79" s="742">
        <f>P69</f>
        <v>0</v>
      </c>
      <c r="F79" s="744"/>
      <c r="G79" s="940" t="s">
        <v>1941</v>
      </c>
      <c r="H79" s="941"/>
      <c r="I79" s="942"/>
      <c r="J79" s="925"/>
      <c r="K79" s="925"/>
      <c r="L79" s="972"/>
      <c r="M79" s="973"/>
      <c r="N79" s="973"/>
      <c r="O79" s="974"/>
      <c r="P79" s="1010"/>
      <c r="R79" s="10"/>
      <c r="S79" s="557">
        <f>E79</f>
        <v>0</v>
      </c>
      <c r="T79" s="147">
        <f>LARGE($S$73:$S$80,7)</f>
        <v>0</v>
      </c>
      <c r="U79" s="553">
        <f t="shared" si="3"/>
        <v>0</v>
      </c>
      <c r="V79" s="557">
        <f t="shared" si="2"/>
        <v>0</v>
      </c>
      <c r="W79" s="10"/>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3">
      <c r="B80" s="797" t="s">
        <v>1128</v>
      </c>
      <c r="C80" s="798"/>
      <c r="D80" s="799"/>
      <c r="E80" s="1079">
        <f>P70</f>
        <v>0</v>
      </c>
      <c r="F80" s="1187"/>
      <c r="G80" s="1166" t="s">
        <v>1941</v>
      </c>
      <c r="H80" s="1161"/>
      <c r="I80" s="1167"/>
      <c r="J80" s="845"/>
      <c r="K80" s="845"/>
      <c r="L80" s="972"/>
      <c r="M80" s="973"/>
      <c r="N80" s="973"/>
      <c r="O80" s="974"/>
      <c r="P80" s="1010"/>
      <c r="R80" s="10"/>
      <c r="S80" s="557">
        <f>E80</f>
        <v>0</v>
      </c>
      <c r="T80" s="147">
        <f>LARGE($S$73:$S$80,8)</f>
        <v>0</v>
      </c>
      <c r="U80" s="96"/>
      <c r="V80" s="129"/>
      <c r="W80" s="6"/>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3">
      <c r="B81" s="959" t="s">
        <v>1714</v>
      </c>
      <c r="C81" s="959"/>
      <c r="D81" s="959"/>
      <c r="E81" s="959"/>
      <c r="F81" s="959"/>
      <c r="G81" s="959"/>
      <c r="H81" s="959"/>
      <c r="I81" s="959"/>
      <c r="J81" s="959"/>
      <c r="K81" s="959"/>
      <c r="L81" s="959"/>
      <c r="M81" s="959"/>
      <c r="N81" s="959"/>
      <c r="O81" s="959"/>
      <c r="P81" s="996"/>
      <c r="R81" s="10"/>
      <c r="S81" s="14"/>
      <c r="T81" s="96"/>
      <c r="U81" s="129"/>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3">
      <c r="B82" s="1211"/>
      <c r="C82" s="1211"/>
      <c r="D82" s="1211"/>
      <c r="E82" s="1211"/>
      <c r="F82" s="1211"/>
      <c r="G82" s="1211"/>
      <c r="H82" s="1211"/>
      <c r="I82" s="1211"/>
      <c r="J82" s="1211"/>
      <c r="K82" s="1211"/>
      <c r="L82" s="1211"/>
      <c r="M82" s="1211"/>
      <c r="N82" s="1211"/>
      <c r="O82" s="1211"/>
      <c r="P82" s="1211"/>
      <c r="R82" s="10"/>
      <c r="S82" s="14"/>
      <c r="T82" s="96"/>
      <c r="U82" s="129"/>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3">
      <c r="B83" s="792"/>
      <c r="C83" s="792"/>
      <c r="D83" s="792"/>
      <c r="E83" s="792"/>
      <c r="F83" s="792"/>
      <c r="G83" s="792"/>
      <c r="H83" s="792"/>
      <c r="I83" s="792"/>
      <c r="J83" s="792"/>
      <c r="K83" s="792"/>
      <c r="L83" s="792"/>
      <c r="M83" s="792"/>
      <c r="N83" s="792"/>
      <c r="O83" s="792"/>
      <c r="P83" s="79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3">
      <c r="B84" s="947" t="s">
        <v>1715</v>
      </c>
      <c r="C84" s="878"/>
      <c r="D84" s="878"/>
      <c r="E84" s="878"/>
      <c r="F84" s="878"/>
      <c r="G84" s="878"/>
      <c r="H84" s="878"/>
      <c r="I84" s="878"/>
      <c r="J84" s="878"/>
      <c r="K84" s="878"/>
      <c r="L84" s="878"/>
      <c r="M84" s="878"/>
      <c r="N84" s="878"/>
      <c r="O84" s="878"/>
      <c r="P84" s="878"/>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3">
      <c r="B85" s="925" t="s">
        <v>1716</v>
      </c>
      <c r="C85" s="925"/>
      <c r="D85" s="925"/>
      <c r="E85" s="925"/>
      <c r="F85" s="925"/>
      <c r="G85" s="925"/>
      <c r="H85" s="925"/>
      <c r="I85" s="925"/>
      <c r="J85" s="925"/>
      <c r="K85" s="925"/>
      <c r="L85" s="925"/>
      <c r="M85" s="925"/>
      <c r="N85" s="925"/>
      <c r="O85" s="925"/>
      <c r="P85" s="925"/>
      <c r="R85" s="10"/>
      <c r="S85" s="10"/>
      <c r="T85" s="77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3">
      <c r="B86" s="1014"/>
      <c r="C86" s="1014"/>
      <c r="D86" s="1014"/>
      <c r="E86" s="1014"/>
      <c r="F86" s="1014"/>
      <c r="G86" s="1014"/>
      <c r="H86" s="1014"/>
      <c r="I86" s="1014"/>
      <c r="J86" s="1014"/>
      <c r="K86" s="1014"/>
      <c r="L86" s="1014"/>
      <c r="M86" s="1014"/>
      <c r="N86" s="1014"/>
      <c r="O86" s="1014"/>
      <c r="P86" s="21">
        <f>SUMIF(U85:AO85,B86,U86:AO86)</f>
        <v>0</v>
      </c>
      <c r="R86" s="10"/>
      <c r="S86" s="10"/>
      <c r="T86" s="77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35">
      <c r="B87" s="1244"/>
      <c r="C87" s="1244"/>
      <c r="D87" s="1244"/>
      <c r="E87" s="1244"/>
      <c r="F87" s="1244"/>
      <c r="G87" s="1244"/>
      <c r="H87" s="1244"/>
      <c r="I87" s="1244"/>
      <c r="J87" s="1244"/>
      <c r="K87" s="1244"/>
      <c r="L87" s="1244"/>
      <c r="M87" s="1244"/>
      <c r="N87" s="1244"/>
      <c r="O87" s="1244"/>
      <c r="P87" s="1244"/>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3">
      <c r="B88" s="940" t="s">
        <v>189</v>
      </c>
      <c r="C88" s="941"/>
      <c r="D88" s="941"/>
      <c r="E88" s="941"/>
      <c r="F88" s="941"/>
      <c r="G88" s="941"/>
      <c r="H88" s="941"/>
      <c r="I88" s="941"/>
      <c r="J88" s="941"/>
      <c r="K88" s="941"/>
      <c r="L88" s="941"/>
      <c r="M88" s="941"/>
      <c r="N88" s="941"/>
      <c r="O88" s="941"/>
      <c r="P88" s="845"/>
      <c r="R88" s="10"/>
      <c r="S88" s="10"/>
      <c r="T88" s="10"/>
      <c r="U88" s="10"/>
      <c r="V88" s="10"/>
      <c r="W88" s="10"/>
      <c r="X88" s="10"/>
      <c r="Y88" s="10"/>
      <c r="Z88" s="10"/>
      <c r="AA88" s="739"/>
      <c r="AB88" s="739"/>
      <c r="AC88" s="739"/>
      <c r="AD88" s="739"/>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3">
      <c r="B89" s="285" t="s">
        <v>1545</v>
      </c>
      <c r="C89" s="1277"/>
      <c r="D89" s="1278"/>
      <c r="E89" s="1278"/>
      <c r="F89" s="1278"/>
      <c r="G89" s="1278"/>
      <c r="H89" s="1278"/>
      <c r="I89" s="1278"/>
      <c r="J89" s="1278"/>
      <c r="K89" s="1278"/>
      <c r="L89" s="1272"/>
      <c r="M89" s="1273"/>
      <c r="N89" s="1274"/>
      <c r="O89" s="67">
        <f>IF(C89=T89,0.45,IF(C89=U89,0.3,IF(C89=V89,0.45,0)))</f>
        <v>0</v>
      </c>
      <c r="P89" s="846"/>
      <c r="R89" s="947"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3">
      <c r="B90" s="277" t="s">
        <v>190</v>
      </c>
      <c r="C90" s="1260"/>
      <c r="D90" s="1269"/>
      <c r="E90" s="1269"/>
      <c r="F90" s="1269"/>
      <c r="G90" s="1269"/>
      <c r="H90" s="1269"/>
      <c r="I90" s="1269"/>
      <c r="J90" s="1269"/>
      <c r="K90" s="1269"/>
      <c r="L90" s="1019"/>
      <c r="M90" s="1020"/>
      <c r="N90" s="1021"/>
      <c r="O90" s="64">
        <f>IF(C90=T90,0.8,IF(C90=U90,0.45,IF(C90=V90,0.8,0)))</f>
        <v>0</v>
      </c>
      <c r="P90" s="846"/>
      <c r="R90" s="947"/>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3">
      <c r="B91" s="1276"/>
      <c r="C91" s="1211"/>
      <c r="D91" s="1211"/>
      <c r="E91" s="1211"/>
      <c r="F91" s="1211"/>
      <c r="G91" s="1211"/>
      <c r="H91" s="1211"/>
      <c r="I91" s="1211"/>
      <c r="J91" s="1211"/>
      <c r="K91" s="1211"/>
      <c r="L91" s="1211"/>
      <c r="M91" s="1211"/>
      <c r="N91" s="1211"/>
      <c r="O91" s="1211"/>
      <c r="P91" s="846"/>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3">
      <c r="B92" s="201"/>
      <c r="C92" s="925" t="s">
        <v>1595</v>
      </c>
      <c r="D92" s="925"/>
      <c r="E92" s="925"/>
      <c r="F92" s="925"/>
      <c r="G92" s="1156" t="s">
        <v>1081</v>
      </c>
      <c r="H92" s="1156"/>
      <c r="I92" s="1156"/>
      <c r="J92" s="1156"/>
      <c r="K92" s="1156"/>
      <c r="L92" s="792"/>
      <c r="M92" s="792"/>
      <c r="N92" s="792"/>
      <c r="O92" s="792"/>
      <c r="P92" s="846"/>
      <c r="R92" s="10"/>
      <c r="T92" s="927" t="s">
        <v>1257</v>
      </c>
      <c r="U92" s="927"/>
      <c r="V92" s="10"/>
      <c r="W92" s="10"/>
      <c r="X92" s="10"/>
      <c r="Y92" s="922" t="s">
        <v>2259</v>
      </c>
      <c r="Z92" s="926"/>
      <c r="AA92" s="923"/>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3">
      <c r="B93" s="280" t="s">
        <v>1840</v>
      </c>
      <c r="C93" s="925" t="s">
        <v>365</v>
      </c>
      <c r="D93" s="925"/>
      <c r="E93" s="925" t="s">
        <v>1795</v>
      </c>
      <c r="F93" s="925"/>
      <c r="G93" s="925" t="s">
        <v>365</v>
      </c>
      <c r="H93" s="925"/>
      <c r="I93" s="925"/>
      <c r="J93" s="925" t="s">
        <v>1795</v>
      </c>
      <c r="K93" s="925"/>
      <c r="L93" s="1046"/>
      <c r="M93" s="1046"/>
      <c r="N93" s="1046"/>
      <c r="O93" s="1019"/>
      <c r="P93" s="846"/>
      <c r="R93" s="10"/>
      <c r="S93" s="595" t="s">
        <v>1572</v>
      </c>
      <c r="T93" s="39" t="s">
        <v>1595</v>
      </c>
      <c r="U93" s="39" t="s">
        <v>1596</v>
      </c>
      <c r="V93" s="925" t="s">
        <v>1083</v>
      </c>
      <c r="W93" s="925"/>
      <c r="Y93" s="18">
        <f>IF(OR(O89&gt;0,O90&gt;0,E95&gt;0,E97&gt;0),1,0)</f>
        <v>0</v>
      </c>
      <c r="Z93" s="641">
        <f>IF(AND(OR(O89&gt;0,O90&gt;0),OR(E94&gt;0,E96&gt;0),C99&gt;0),C99*O98,O98)</f>
        <v>0</v>
      </c>
      <c r="AA93" s="639">
        <f>IF(AND(Y93=0,C99&gt;0),C99*AB98,AB98)</f>
        <v>0</v>
      </c>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3">
      <c r="B94" s="297" t="s">
        <v>1334</v>
      </c>
      <c r="C94" s="1260"/>
      <c r="D94" s="1261"/>
      <c r="E94" s="1202">
        <f>LETable!AT18</f>
        <v>0</v>
      </c>
      <c r="F94" s="1202"/>
      <c r="G94" s="708"/>
      <c r="H94" s="708"/>
      <c r="I94" s="708"/>
      <c r="J94" s="1206">
        <f>IF(C94="",0,IF(OR(C94&lt;=0,G94&lt;=0),E94,IF(G94&lt;C94,0,LETable!AY18)))</f>
        <v>0</v>
      </c>
      <c r="K94" s="1206"/>
      <c r="L94" s="1256" t="str">
        <f>IF(OR(C94="NA",G94="NA"),"",IF(AND(C94&lt;&gt;"",G94=""),"Enter contralateral or NA.",IF(AND(C94="",G94&lt;&gt;""),"Need data","")))</f>
        <v/>
      </c>
      <c r="M94" s="1256"/>
      <c r="N94" s="1256"/>
      <c r="O94" s="1257"/>
      <c r="P94" s="846"/>
      <c r="S94" s="50">
        <v>40</v>
      </c>
      <c r="T94" s="50" t="str">
        <f>IF(OR(C94="",C94="NA"),"",IF(C94&gt;S94,S94,IF(C94&lt;0,0,C94)))</f>
        <v/>
      </c>
      <c r="U94" s="50" t="str">
        <f>IF(OR(G94="",G94="NA"),"",IF(G94&gt;S94,S94,IF(G94&lt;0,0,G94)))</f>
        <v/>
      </c>
      <c r="V94" s="562" t="str">
        <f>IF(W94="","",ROUND(W94,0))</f>
        <v/>
      </c>
      <c r="W94" s="563"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3">
      <c r="B95" s="297" t="s">
        <v>1335</v>
      </c>
      <c r="C95" s="1260"/>
      <c r="D95" s="1261"/>
      <c r="E95" s="1202">
        <f>IF(AND(C95&lt;&gt;"",C95&lt;&gt;"NA",C94&lt;&gt;"NA",C94&lt;&gt;""),"ERROR",IF(AND(C95&lt;&gt;"",C95&lt;&gt;"NA",C96&lt;&gt;"",C96&lt;&gt;"NA"),"ERROR",LETable!AT19))</f>
        <v>0</v>
      </c>
      <c r="F95" s="1202"/>
      <c r="G95" s="946" t="str">
        <f>IF(E95="ERROR","Error: Cannot rate ROM and ankylosis.","")</f>
        <v/>
      </c>
      <c r="H95" s="946"/>
      <c r="I95" s="946"/>
      <c r="J95" s="946"/>
      <c r="K95" s="946"/>
      <c r="L95" s="946"/>
      <c r="M95" s="946"/>
      <c r="N95" s="946"/>
      <c r="O95" s="1073"/>
      <c r="P95" s="846"/>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3">
      <c r="B96" s="128" t="s">
        <v>1255</v>
      </c>
      <c r="C96" s="1260"/>
      <c r="D96" s="1261"/>
      <c r="E96" s="1202">
        <f>LETable!AT20</f>
        <v>0</v>
      </c>
      <c r="F96" s="1202"/>
      <c r="G96" s="708"/>
      <c r="H96" s="708"/>
      <c r="I96" s="708"/>
      <c r="J96" s="1206">
        <f>IF(C96="",0,IF(OR(C96&lt;=0,G96&lt;=0),E96,IF(G96&lt;C96,0,LETable!AY20)))</f>
        <v>0</v>
      </c>
      <c r="K96" s="1206"/>
      <c r="L96" s="1256" t="str">
        <f>IF(OR(C96="NA",G96="NA"),"",IF(AND(C96&lt;&gt;"",G96=""),"Enter contralateral or NA.",IF(AND(C96="",G96&lt;&gt;""),"Need data","")))</f>
        <v/>
      </c>
      <c r="M96" s="1256"/>
      <c r="N96" s="1256"/>
      <c r="O96" s="1257"/>
      <c r="P96" s="846"/>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3">
      <c r="B97" s="296" t="s">
        <v>1839</v>
      </c>
      <c r="C97" s="1260"/>
      <c r="D97" s="1261"/>
      <c r="E97" s="1202">
        <f>IF(AND(C97&lt;&gt;"",C97&lt;&gt;"NA",C96&lt;&gt;"NA",C96&lt;&gt;""),"ERROR",IF(AND(C97&lt;&gt;"",C97&lt;&gt;"NA",C94&lt;&gt;"",C94&lt;&gt;"NA"),"ERROR",LETable!AT21))</f>
        <v>0</v>
      </c>
      <c r="F97" s="1202"/>
      <c r="G97" s="1203" t="str">
        <f>IF(E97="ERROR","Error: Cannot rate ROM and ankylosis.",IF(AND(C95&lt;&gt;"",C95&lt;&gt;"NA",C97&lt;&gt;"",C97&lt;&gt;"NA"),"Multiple ankylosis values; use higher value only.",""))</f>
        <v/>
      </c>
      <c r="H97" s="1204"/>
      <c r="I97" s="1204"/>
      <c r="J97" s="1204"/>
      <c r="K97" s="1204"/>
      <c r="L97" s="1204"/>
      <c r="M97" s="1204"/>
      <c r="N97" s="1204"/>
      <c r="O97" s="1205"/>
      <c r="P97" s="846"/>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3">
      <c r="B98" s="636"/>
      <c r="C98" s="637"/>
      <c r="D98" s="637"/>
      <c r="E98" s="998" t="str">
        <f>IF(AND(OR(O89&gt;0,O90&gt;0,E95&gt;0,E97&gt;0),C99&gt;0),"Note: Ankylosis impairment is not apportioned.","")</f>
        <v/>
      </c>
      <c r="F98" s="999"/>
      <c r="G98" s="999"/>
      <c r="H98" s="999"/>
      <c r="I98" s="999"/>
      <c r="J98" s="1000"/>
      <c r="K98" s="646" t="s">
        <v>1841</v>
      </c>
      <c r="L98" s="647"/>
      <c r="M98" s="647"/>
      <c r="N98" s="648"/>
      <c r="O98" s="59">
        <f>IF(OR(E95="ERROR",E97="ERROR"),"ERROR",IF(R98&gt;1,1,R98))</f>
        <v>0</v>
      </c>
      <c r="P98" s="847"/>
      <c r="R98" s="194">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3">
      <c r="B99" s="13" t="s">
        <v>2255</v>
      </c>
      <c r="C99" s="935"/>
      <c r="D99" s="960"/>
      <c r="E99" s="975"/>
      <c r="F99" s="976"/>
      <c r="G99" s="976"/>
      <c r="H99" s="976"/>
      <c r="I99" s="976"/>
      <c r="J99" s="977"/>
      <c r="K99" s="646" t="s">
        <v>191</v>
      </c>
      <c r="L99" s="647"/>
      <c r="M99" s="647"/>
      <c r="N99" s="647"/>
      <c r="O99" s="648"/>
      <c r="P99" s="248">
        <f>IF(O98="ERROR","ERROR",IF(AND(AA93&gt;0,AA93&lt;0.01),0.01,ROUND(AA93,2)))</f>
        <v>0</v>
      </c>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3">
      <c r="B100" s="1211"/>
      <c r="C100" s="1211"/>
      <c r="D100" s="1211"/>
      <c r="E100" s="1211"/>
      <c r="F100" s="1211"/>
      <c r="G100" s="1211"/>
      <c r="H100" s="1211"/>
      <c r="I100" s="1211"/>
      <c r="J100" s="1211"/>
      <c r="K100" s="1211"/>
      <c r="L100" s="1211"/>
      <c r="M100" s="1211"/>
      <c r="N100" s="1211"/>
      <c r="O100" s="1211"/>
      <c r="P100" s="384"/>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3">
      <c r="B101" s="940" t="s">
        <v>2006</v>
      </c>
      <c r="C101" s="941"/>
      <c r="D101" s="941"/>
      <c r="E101" s="941"/>
      <c r="F101" s="941"/>
      <c r="G101" s="941"/>
      <c r="H101" s="941"/>
      <c r="I101" s="941"/>
      <c r="J101" s="941"/>
      <c r="K101" s="941"/>
      <c r="L101" s="941"/>
      <c r="M101" s="941"/>
      <c r="N101" s="941"/>
      <c r="O101" s="941"/>
      <c r="P101" s="38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3">
      <c r="B102" s="308" t="s">
        <v>2011</v>
      </c>
      <c r="C102" s="933"/>
      <c r="D102" s="933"/>
      <c r="E102" s="933"/>
      <c r="F102" s="933"/>
      <c r="G102" s="933"/>
      <c r="H102" s="933"/>
      <c r="I102" s="933"/>
      <c r="J102" s="933"/>
      <c r="K102" s="933"/>
      <c r="L102" s="933"/>
      <c r="M102" s="933"/>
      <c r="N102" s="933"/>
      <c r="O102" s="68"/>
      <c r="P102" s="528">
        <f>IF($W$239&gt;0,0,R102)</f>
        <v>0</v>
      </c>
      <c r="R102" s="147">
        <f>IF(C102=S102,0,IF(C102=T102,0.05,IF(C102=U102,0.1,0)))</f>
        <v>0</v>
      </c>
      <c r="S102" s="50" t="s">
        <v>1941</v>
      </c>
      <c r="T102" s="50" t="s">
        <v>1784</v>
      </c>
      <c r="U102" s="50" t="s">
        <v>1785</v>
      </c>
      <c r="V102" s="97"/>
      <c r="W102" s="96"/>
      <c r="X102" s="133"/>
      <c r="Y102" s="13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3">
      <c r="B103" s="308" t="s">
        <v>2012</v>
      </c>
      <c r="C103" s="933"/>
      <c r="D103" s="933"/>
      <c r="E103" s="933"/>
      <c r="F103" s="933"/>
      <c r="G103" s="933"/>
      <c r="H103" s="933"/>
      <c r="I103" s="933"/>
      <c r="J103" s="933"/>
      <c r="K103" s="933"/>
      <c r="L103" s="933"/>
      <c r="M103" s="933"/>
      <c r="N103" s="933"/>
      <c r="O103" s="69"/>
      <c r="P103" s="21">
        <f>IF($W$239&gt;0,0,R103)</f>
        <v>0</v>
      </c>
      <c r="R103" s="147">
        <f>IF(C103=S103,0,IF(C103=T103,0.05,IF(C103=U103,0.1,0)))</f>
        <v>0</v>
      </c>
      <c r="S103" s="50" t="s">
        <v>1941</v>
      </c>
      <c r="T103" s="50" t="s">
        <v>1996</v>
      </c>
      <c r="U103" s="50" t="s">
        <v>1997</v>
      </c>
      <c r="V103" s="97"/>
      <c r="W103" s="96"/>
      <c r="X103" s="133"/>
      <c r="Y103" s="13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3">
      <c r="B104" s="1056" t="str">
        <f>IF(AND(OR(R102&gt;0,R103&gt;0),$W$239&gt;0),"A value has been given for loss of sensation or hypersensitivity in the foot. No additional value is allowed for the toes.","")</f>
        <v/>
      </c>
      <c r="C104" s="1056"/>
      <c r="D104" s="1056"/>
      <c r="E104" s="1056"/>
      <c r="F104" s="1056"/>
      <c r="G104" s="1056"/>
      <c r="H104" s="1056"/>
      <c r="I104" s="1056"/>
      <c r="J104" s="1056"/>
      <c r="K104" s="1056"/>
      <c r="L104" s="1056"/>
      <c r="M104" s="1056"/>
      <c r="N104" s="1056"/>
      <c r="O104" s="1056"/>
      <c r="P104" s="529"/>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3">
      <c r="A105" s="2"/>
      <c r="B105" s="712"/>
      <c r="C105" s="792"/>
      <c r="D105" s="792"/>
      <c r="E105" s="792"/>
      <c r="F105" s="792"/>
      <c r="G105" s="792"/>
      <c r="H105" s="792"/>
      <c r="I105" s="792"/>
      <c r="J105" s="792"/>
      <c r="K105" s="792"/>
      <c r="L105" s="792"/>
      <c r="M105" s="792"/>
      <c r="N105" s="792"/>
      <c r="O105" s="792"/>
      <c r="P105" s="63"/>
      <c r="Q105" s="2"/>
      <c r="R105" s="10"/>
      <c r="S105" s="10"/>
      <c r="Y105" s="10"/>
      <c r="Z105" s="739"/>
      <c r="AA105" s="739"/>
      <c r="AB105" s="739"/>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3">
      <c r="A106" s="2"/>
      <c r="B106" s="776" t="s">
        <v>2015</v>
      </c>
      <c r="C106" s="776"/>
      <c r="D106" s="776"/>
      <c r="E106" s="776"/>
      <c r="F106" s="776"/>
      <c r="G106" s="776"/>
      <c r="H106" s="776"/>
      <c r="I106" s="776"/>
      <c r="J106" s="776"/>
      <c r="K106" s="776"/>
      <c r="L106" s="776"/>
      <c r="M106" s="776"/>
      <c r="N106" s="708"/>
      <c r="O106" s="708"/>
      <c r="P106" s="21">
        <f>IF(N106=T106,0.03,IF(N106=U106,0.15,IF(N106=V106,0.38,IF(N106=W106,0.68,IF(N106=X106,0.9,0)))))</f>
        <v>0</v>
      </c>
      <c r="Q106" s="2"/>
      <c r="R106" s="878" t="s">
        <v>2196</v>
      </c>
      <c r="S106" s="878"/>
      <c r="T106" s="50" t="s">
        <v>1968</v>
      </c>
      <c r="U106" s="50" t="s">
        <v>1969</v>
      </c>
      <c r="V106" s="147" t="s">
        <v>1971</v>
      </c>
      <c r="W106" s="50" t="s">
        <v>945</v>
      </c>
      <c r="X106" s="147" t="s">
        <v>558</v>
      </c>
      <c r="Y106" s="10"/>
      <c r="Z106" s="739"/>
      <c r="AA106" s="739"/>
      <c r="AB106" s="739"/>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3">
      <c r="B107" s="527"/>
      <c r="C107" s="527"/>
      <c r="D107" s="527"/>
      <c r="E107" s="527"/>
      <c r="F107" s="527"/>
      <c r="G107" s="527"/>
      <c r="H107" s="527"/>
      <c r="I107" s="527"/>
      <c r="J107" s="527"/>
      <c r="K107" s="527"/>
      <c r="L107" s="527"/>
      <c r="M107" s="527"/>
      <c r="N107" s="527"/>
      <c r="O107" s="527"/>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3">
      <c r="A108" s="15"/>
      <c r="B108" s="259" t="s">
        <v>1708</v>
      </c>
      <c r="C108" s="1213"/>
      <c r="D108" s="1213"/>
      <c r="E108" s="757" t="s">
        <v>1709</v>
      </c>
      <c r="F108" s="758"/>
      <c r="G108" s="758"/>
      <c r="H108" s="758"/>
      <c r="I108" s="758"/>
      <c r="J108" s="758"/>
      <c r="K108" s="758"/>
      <c r="L108" s="758"/>
      <c r="M108" s="758"/>
      <c r="N108" s="758"/>
      <c r="O108" s="758"/>
      <c r="P108" s="248">
        <f>IF(T108=1,0.15,0)</f>
        <v>0</v>
      </c>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3">
      <c r="B109" s="259" t="s">
        <v>1710</v>
      </c>
      <c r="C109" s="1213"/>
      <c r="D109" s="1213"/>
      <c r="E109" s="757" t="s">
        <v>1711</v>
      </c>
      <c r="F109" s="758"/>
      <c r="G109" s="758"/>
      <c r="H109" s="758"/>
      <c r="I109" s="758"/>
      <c r="J109" s="758"/>
      <c r="K109" s="758"/>
      <c r="L109" s="758"/>
      <c r="M109" s="758"/>
      <c r="N109" s="758"/>
      <c r="O109" s="758"/>
      <c r="P109" s="248">
        <f>IF(T109=1,0.25,0)</f>
        <v>0</v>
      </c>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3">
      <c r="B110" s="386" t="s">
        <v>626</v>
      </c>
      <c r="C110" s="1025"/>
      <c r="D110" s="1025"/>
      <c r="E110" s="937" t="s">
        <v>627</v>
      </c>
      <c r="F110" s="938"/>
      <c r="G110" s="938"/>
      <c r="H110" s="938"/>
      <c r="I110" s="938"/>
      <c r="J110" s="938"/>
      <c r="K110" s="938"/>
      <c r="L110" s="938"/>
      <c r="M110" s="938"/>
      <c r="N110" s="938"/>
      <c r="O110" s="938"/>
      <c r="P110" s="278">
        <f>IF(T110=1,0.25,0)</f>
        <v>0</v>
      </c>
      <c r="R110" s="10"/>
      <c r="S110" s="570"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35">
      <c r="B111" s="1212"/>
      <c r="C111" s="1212"/>
      <c r="D111" s="1212"/>
      <c r="E111" s="1212"/>
      <c r="F111" s="1212"/>
      <c r="G111" s="1212"/>
      <c r="H111" s="1212"/>
      <c r="I111" s="1212"/>
      <c r="J111" s="1212"/>
      <c r="K111" s="1212"/>
      <c r="L111" s="1212"/>
      <c r="M111" s="1212"/>
      <c r="N111" s="1212"/>
      <c r="O111" s="1212"/>
      <c r="R111" s="10"/>
      <c r="S111" s="200"/>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3">
      <c r="B112" s="879" t="s">
        <v>817</v>
      </c>
      <c r="C112" s="880"/>
      <c r="D112" s="880"/>
      <c r="E112" s="880"/>
      <c r="F112" s="880"/>
      <c r="G112" s="927" t="s">
        <v>1524</v>
      </c>
      <c r="H112" s="925"/>
      <c r="I112" s="925"/>
      <c r="J112" s="925"/>
      <c r="K112" s="925"/>
      <c r="L112" s="1367"/>
      <c r="M112" s="1368"/>
      <c r="N112" s="1368"/>
      <c r="O112" s="1369"/>
      <c r="P112" s="872">
        <f>IF(J121&gt;0,J121,V119)</f>
        <v>0</v>
      </c>
      <c r="R112" s="10"/>
      <c r="S112" s="50" t="s">
        <v>1864</v>
      </c>
      <c r="T112" s="50" t="s">
        <v>1304</v>
      </c>
      <c r="U112" s="50" t="s">
        <v>1305</v>
      </c>
      <c r="V112" s="50" t="s">
        <v>1306</v>
      </c>
      <c r="W112" s="6"/>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3">
      <c r="B113" s="791" t="s">
        <v>628</v>
      </c>
      <c r="C113" s="791"/>
      <c r="D113" s="791"/>
      <c r="E113" s="996">
        <f>P86</f>
        <v>0</v>
      </c>
      <c r="F113" s="997"/>
      <c r="G113" s="925" t="s">
        <v>1941</v>
      </c>
      <c r="H113" s="925"/>
      <c r="I113" s="925"/>
      <c r="J113" s="1214"/>
      <c r="K113" s="1214"/>
      <c r="L113" s="1003"/>
      <c r="M113" s="1004"/>
      <c r="N113" s="1004"/>
      <c r="O113" s="1005"/>
      <c r="P113" s="1010"/>
      <c r="R113" s="10"/>
      <c r="S113" s="557">
        <f>E113</f>
        <v>0</v>
      </c>
      <c r="T113" s="147">
        <f>LARGE($S$113:$S$120,1)</f>
        <v>0</v>
      </c>
      <c r="U113" s="553">
        <f>T113+T114*(1-T113)</f>
        <v>0</v>
      </c>
      <c r="V113" s="557">
        <f t="shared" ref="V113:V119" si="5">ROUND(U113,2)</f>
        <v>0</v>
      </c>
      <c r="W113" s="6"/>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3">
      <c r="B114" s="806" t="s">
        <v>1958</v>
      </c>
      <c r="C114" s="806"/>
      <c r="D114" s="806"/>
      <c r="E114" s="770">
        <f>IF(P427&gt;0,0,P99)</f>
        <v>0</v>
      </c>
      <c r="F114" s="746"/>
      <c r="G114" s="1095" t="s">
        <v>2256</v>
      </c>
      <c r="H114" s="1095"/>
      <c r="I114" s="1095"/>
      <c r="J114" s="1214"/>
      <c r="K114" s="1214"/>
      <c r="L114" s="1006"/>
      <c r="M114" s="1007"/>
      <c r="N114" s="1007"/>
      <c r="O114" s="1008"/>
      <c r="P114" s="1010"/>
      <c r="R114" s="10"/>
      <c r="S114" s="147">
        <f>IF(J114&gt;0,J114,E114)</f>
        <v>0</v>
      </c>
      <c r="T114" s="147">
        <f>LARGE($S$113:$S$120,2)</f>
        <v>0</v>
      </c>
      <c r="U114" s="553">
        <f t="shared" ref="U114:U119" si="6">V113+T115*(1-V113)</f>
        <v>0</v>
      </c>
      <c r="V114" s="557">
        <f t="shared" si="5"/>
        <v>0</v>
      </c>
      <c r="W114" s="6"/>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3">
      <c r="B115" s="806" t="s">
        <v>2016</v>
      </c>
      <c r="C115" s="806"/>
      <c r="D115" s="806"/>
      <c r="E115" s="770">
        <f>P102</f>
        <v>0</v>
      </c>
      <c r="F115" s="746"/>
      <c r="G115" s="1028"/>
      <c r="H115" s="1028"/>
      <c r="I115" s="1028"/>
      <c r="J115" s="1188">
        <f>IF(AND(W115&lt;0.01,W115&gt;0),0.01,ROUND(W115,2))</f>
        <v>0</v>
      </c>
      <c r="K115" s="1188"/>
      <c r="L115" s="633"/>
      <c r="M115" s="634"/>
      <c r="N115" s="634"/>
      <c r="O115" s="635"/>
      <c r="P115" s="1010"/>
      <c r="R115" s="10"/>
      <c r="S115" s="147">
        <f>IF(J115&gt;0,J115,E115)</f>
        <v>0</v>
      </c>
      <c r="T115" s="147">
        <f>LARGE($S$113:$S$120,3)</f>
        <v>0</v>
      </c>
      <c r="U115" s="553">
        <f t="shared" si="6"/>
        <v>0</v>
      </c>
      <c r="V115" s="557">
        <f t="shared" si="5"/>
        <v>0</v>
      </c>
      <c r="W115" s="603">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3">
      <c r="B116" s="757" t="s">
        <v>1226</v>
      </c>
      <c r="C116" s="758"/>
      <c r="D116" s="759"/>
      <c r="E116" s="770">
        <f>P103</f>
        <v>0</v>
      </c>
      <c r="F116" s="746"/>
      <c r="G116" s="1028"/>
      <c r="H116" s="1028"/>
      <c r="I116" s="1028"/>
      <c r="J116" s="1188">
        <f>IF(AND(W116&lt;0.01,W116&gt;0),0.01,ROUND(W116,2))</f>
        <v>0</v>
      </c>
      <c r="K116" s="1188"/>
      <c r="L116" s="633"/>
      <c r="M116" s="634"/>
      <c r="N116" s="634"/>
      <c r="O116" s="635"/>
      <c r="P116" s="1010"/>
      <c r="R116" s="10"/>
      <c r="S116" s="147">
        <f>IF(J116&gt;0,J116,E116)</f>
        <v>0</v>
      </c>
      <c r="T116" s="147">
        <f>LARGE($S$113:$S$120,4)</f>
        <v>0</v>
      </c>
      <c r="U116" s="553">
        <f t="shared" si="6"/>
        <v>0</v>
      </c>
      <c r="V116" s="557">
        <f t="shared" si="5"/>
        <v>0</v>
      </c>
      <c r="W116" s="603">
        <f t="shared" ref="W116:W117" si="7">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3">
      <c r="B117" s="757" t="s">
        <v>1446</v>
      </c>
      <c r="C117" s="758"/>
      <c r="D117" s="759"/>
      <c r="E117" s="742">
        <f>P106</f>
        <v>0</v>
      </c>
      <c r="F117" s="744"/>
      <c r="G117" s="1028"/>
      <c r="H117" s="1028"/>
      <c r="I117" s="1028"/>
      <c r="J117" s="1188">
        <f>IF(AND(W117&lt;0.01,W117&gt;0),0.01,ROUND(W117,2))</f>
        <v>0</v>
      </c>
      <c r="K117" s="1188"/>
      <c r="L117" s="972" t="str">
        <f>IF(AND(P99&gt;0,$P$427&gt;0),"The worker has motor loss impairment. No additional impairment value is allowed for reduced range of motion in the same extremity.","")</f>
        <v/>
      </c>
      <c r="M117" s="973"/>
      <c r="N117" s="973"/>
      <c r="O117" s="974"/>
      <c r="P117" s="1010"/>
      <c r="R117" s="10"/>
      <c r="S117" s="147">
        <f>IF(J117&gt;0,J117,E117)</f>
        <v>0</v>
      </c>
      <c r="T117" s="147">
        <f>LARGE($S$113:$S$120,5)</f>
        <v>0</v>
      </c>
      <c r="U117" s="553">
        <f t="shared" si="6"/>
        <v>0</v>
      </c>
      <c r="V117" s="557">
        <f t="shared" si="5"/>
        <v>0</v>
      </c>
      <c r="W117" s="603">
        <f t="shared" si="7"/>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3">
      <c r="B118" s="806" t="s">
        <v>1712</v>
      </c>
      <c r="C118" s="806"/>
      <c r="D118" s="806"/>
      <c r="E118" s="770">
        <f>P108</f>
        <v>0</v>
      </c>
      <c r="F118" s="746"/>
      <c r="G118" s="925" t="s">
        <v>1941</v>
      </c>
      <c r="H118" s="925"/>
      <c r="I118" s="925"/>
      <c r="J118" s="925"/>
      <c r="K118" s="925"/>
      <c r="L118" s="972"/>
      <c r="M118" s="973"/>
      <c r="N118" s="973"/>
      <c r="O118" s="974"/>
      <c r="P118" s="1010"/>
      <c r="R118" s="10"/>
      <c r="S118" s="557">
        <f>E118</f>
        <v>0</v>
      </c>
      <c r="T118" s="147">
        <f>LARGE($S$113:$S$120,6)</f>
        <v>0</v>
      </c>
      <c r="U118" s="553">
        <f t="shared" si="6"/>
        <v>0</v>
      </c>
      <c r="V118" s="557">
        <f t="shared" si="5"/>
        <v>0</v>
      </c>
      <c r="W118" s="10"/>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3">
      <c r="B119" s="757" t="s">
        <v>1713</v>
      </c>
      <c r="C119" s="758"/>
      <c r="D119" s="759"/>
      <c r="E119" s="742">
        <f>P109</f>
        <v>0</v>
      </c>
      <c r="F119" s="744"/>
      <c r="G119" s="925" t="s">
        <v>1941</v>
      </c>
      <c r="H119" s="925"/>
      <c r="I119" s="925"/>
      <c r="J119" s="925"/>
      <c r="K119" s="925"/>
      <c r="L119" s="972"/>
      <c r="M119" s="973"/>
      <c r="N119" s="973"/>
      <c r="O119" s="974"/>
      <c r="P119" s="1010"/>
      <c r="R119" s="10"/>
      <c r="S119" s="557">
        <f>E119</f>
        <v>0</v>
      </c>
      <c r="T119" s="147">
        <f>LARGE($S$113:$S$120,7)</f>
        <v>0</v>
      </c>
      <c r="U119" s="553">
        <f t="shared" si="6"/>
        <v>0</v>
      </c>
      <c r="V119" s="557">
        <f t="shared" si="5"/>
        <v>0</v>
      </c>
      <c r="W119" s="10"/>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3">
      <c r="B120" s="804" t="s">
        <v>1128</v>
      </c>
      <c r="C120" s="804"/>
      <c r="D120" s="804"/>
      <c r="E120" s="1015">
        <f>P110</f>
        <v>0</v>
      </c>
      <c r="F120" s="1015"/>
      <c r="G120" s="845" t="s">
        <v>1941</v>
      </c>
      <c r="H120" s="845"/>
      <c r="I120" s="845"/>
      <c r="J120" s="845"/>
      <c r="K120" s="845"/>
      <c r="L120" s="972"/>
      <c r="M120" s="973"/>
      <c r="N120" s="973"/>
      <c r="O120" s="974"/>
      <c r="P120" s="1010"/>
      <c r="R120" s="10"/>
      <c r="S120" s="557">
        <f>E120</f>
        <v>0</v>
      </c>
      <c r="T120" s="147">
        <f>LARGE($S$113:$S$120,8)</f>
        <v>0</v>
      </c>
      <c r="U120" s="96"/>
      <c r="V120" s="129"/>
      <c r="W120" s="6"/>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3">
      <c r="B121" s="959" t="s">
        <v>577</v>
      </c>
      <c r="C121" s="959"/>
      <c r="D121" s="959"/>
      <c r="E121" s="959"/>
      <c r="F121" s="959"/>
      <c r="G121" s="959"/>
      <c r="H121" s="959"/>
      <c r="I121" s="959"/>
      <c r="J121" s="959"/>
      <c r="K121" s="959"/>
      <c r="L121" s="959"/>
      <c r="M121" s="959"/>
      <c r="N121" s="959"/>
      <c r="O121" s="959"/>
      <c r="P121" s="996"/>
      <c r="R121" s="10"/>
      <c r="S121" s="14"/>
      <c r="T121" s="96"/>
      <c r="U121" s="129"/>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3">
      <c r="B122" s="792"/>
      <c r="C122" s="792"/>
      <c r="D122" s="792"/>
      <c r="E122" s="792"/>
      <c r="F122" s="792"/>
      <c r="G122" s="792"/>
      <c r="H122" s="792"/>
      <c r="I122" s="792"/>
      <c r="J122" s="792"/>
      <c r="K122" s="792"/>
      <c r="L122" s="792"/>
      <c r="M122" s="792"/>
      <c r="N122" s="792"/>
      <c r="O122" s="792"/>
      <c r="P122" s="792"/>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3">
      <c r="B123" s="792"/>
      <c r="C123" s="792"/>
      <c r="D123" s="792"/>
      <c r="E123" s="792"/>
      <c r="F123" s="792"/>
      <c r="G123" s="792"/>
      <c r="H123" s="792"/>
      <c r="I123" s="792"/>
      <c r="J123" s="792"/>
      <c r="K123" s="792"/>
      <c r="L123" s="792"/>
      <c r="M123" s="792"/>
      <c r="N123" s="792"/>
      <c r="O123" s="792"/>
      <c r="P123" s="79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3">
      <c r="B124" s="947" t="s">
        <v>578</v>
      </c>
      <c r="C124" s="878"/>
      <c r="D124" s="878"/>
      <c r="E124" s="878"/>
      <c r="F124" s="878"/>
      <c r="G124" s="878"/>
      <c r="H124" s="878"/>
      <c r="I124" s="878"/>
      <c r="J124" s="878"/>
      <c r="K124" s="878"/>
      <c r="L124" s="878"/>
      <c r="M124" s="878"/>
      <c r="N124" s="878"/>
      <c r="O124" s="878"/>
      <c r="P124" s="878"/>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3">
      <c r="B125" s="925" t="s">
        <v>579</v>
      </c>
      <c r="C125" s="925"/>
      <c r="D125" s="925"/>
      <c r="E125" s="925"/>
      <c r="F125" s="925"/>
      <c r="G125" s="925"/>
      <c r="H125" s="925"/>
      <c r="I125" s="925"/>
      <c r="J125" s="925"/>
      <c r="K125" s="925"/>
      <c r="L125" s="925"/>
      <c r="M125" s="925"/>
      <c r="N125" s="925"/>
      <c r="O125" s="925"/>
      <c r="P125" s="925"/>
      <c r="R125" s="10"/>
      <c r="S125" s="10"/>
      <c r="T125" s="77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3">
      <c r="B126" s="1014"/>
      <c r="C126" s="1014"/>
      <c r="D126" s="1014"/>
      <c r="E126" s="1014"/>
      <c r="F126" s="1014"/>
      <c r="G126" s="1014"/>
      <c r="H126" s="1014"/>
      <c r="I126" s="1014"/>
      <c r="J126" s="1014"/>
      <c r="K126" s="1014"/>
      <c r="L126" s="1014"/>
      <c r="M126" s="1014"/>
      <c r="N126" s="1014"/>
      <c r="O126" s="1014"/>
      <c r="P126" s="21">
        <f>SUMIF(U125:AO125,B126,U126:AO126)</f>
        <v>0</v>
      </c>
      <c r="R126" s="10"/>
      <c r="S126" s="10"/>
      <c r="T126" s="77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35">
      <c r="B127" s="1244"/>
      <c r="C127" s="1244"/>
      <c r="D127" s="1244"/>
      <c r="E127" s="1244"/>
      <c r="F127" s="1244"/>
      <c r="G127" s="1244"/>
      <c r="H127" s="1244"/>
      <c r="I127" s="1244"/>
      <c r="J127" s="1244"/>
      <c r="K127" s="1244"/>
      <c r="L127" s="1244"/>
      <c r="M127" s="1244"/>
      <c r="N127" s="1244"/>
      <c r="O127" s="1244"/>
      <c r="P127" s="1244"/>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3">
      <c r="B128" s="940" t="s">
        <v>581</v>
      </c>
      <c r="C128" s="941"/>
      <c r="D128" s="941"/>
      <c r="E128" s="941"/>
      <c r="F128" s="941"/>
      <c r="G128" s="941"/>
      <c r="H128" s="941"/>
      <c r="I128" s="941"/>
      <c r="J128" s="941"/>
      <c r="K128" s="941"/>
      <c r="L128" s="941"/>
      <c r="M128" s="941"/>
      <c r="N128" s="941"/>
      <c r="O128" s="941"/>
      <c r="P128" s="845"/>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3">
      <c r="B129" s="285" t="s">
        <v>1545</v>
      </c>
      <c r="C129" s="1277"/>
      <c r="D129" s="1278"/>
      <c r="E129" s="1278"/>
      <c r="F129" s="1278"/>
      <c r="G129" s="1278"/>
      <c r="H129" s="1278"/>
      <c r="I129" s="1278"/>
      <c r="J129" s="1278"/>
      <c r="K129" s="1278"/>
      <c r="L129" s="1272"/>
      <c r="M129" s="1273"/>
      <c r="N129" s="1274"/>
      <c r="O129" s="67">
        <f>IF(C129=T129,0.45,IF(C129=U129,0.3,IF(C129=V129,0.45,0)))</f>
        <v>0</v>
      </c>
      <c r="P129" s="846"/>
      <c r="R129" s="947"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3">
      <c r="B130" s="277" t="s">
        <v>1705</v>
      </c>
      <c r="C130" s="1260"/>
      <c r="D130" s="1269"/>
      <c r="E130" s="1269"/>
      <c r="F130" s="1269"/>
      <c r="G130" s="1269"/>
      <c r="H130" s="1269"/>
      <c r="I130" s="1269"/>
      <c r="J130" s="1269"/>
      <c r="K130" s="1269"/>
      <c r="L130" s="1019"/>
      <c r="M130" s="1020"/>
      <c r="N130" s="1021"/>
      <c r="O130" s="64">
        <f>IF(C130=T130,0.8,IF(C130=U130,0.45,IF(C130=V130,0.8,0)))</f>
        <v>0</v>
      </c>
      <c r="P130" s="846"/>
      <c r="R130" s="947"/>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3">
      <c r="B131" s="1276"/>
      <c r="C131" s="1211"/>
      <c r="D131" s="1211"/>
      <c r="E131" s="1211"/>
      <c r="F131" s="1211"/>
      <c r="G131" s="1211"/>
      <c r="H131" s="1211"/>
      <c r="I131" s="1211"/>
      <c r="J131" s="1211"/>
      <c r="K131" s="1211"/>
      <c r="L131" s="1211"/>
      <c r="M131" s="1211"/>
      <c r="N131" s="1211"/>
      <c r="O131" s="1211"/>
      <c r="P131" s="846"/>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3">
      <c r="B132" s="298"/>
      <c r="C132" s="925" t="s">
        <v>1595</v>
      </c>
      <c r="D132" s="925"/>
      <c r="E132" s="925"/>
      <c r="F132" s="925"/>
      <c r="G132" s="927" t="s">
        <v>1081</v>
      </c>
      <c r="H132" s="927"/>
      <c r="I132" s="927"/>
      <c r="J132" s="927"/>
      <c r="K132" s="927"/>
      <c r="L132" s="792"/>
      <c r="M132" s="792"/>
      <c r="N132" s="792"/>
      <c r="O132" s="792"/>
      <c r="P132" s="846"/>
      <c r="R132" s="10"/>
      <c r="T132" s="927" t="s">
        <v>1257</v>
      </c>
      <c r="U132" s="927"/>
      <c r="V132" s="10"/>
      <c r="W132" s="10"/>
      <c r="X132" s="10"/>
      <c r="Y132" s="922" t="s">
        <v>2259</v>
      </c>
      <c r="Z132" s="926"/>
      <c r="AA132" s="923"/>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3">
      <c r="B133" s="297" t="s">
        <v>1840</v>
      </c>
      <c r="C133" s="925" t="s">
        <v>365</v>
      </c>
      <c r="D133" s="1279"/>
      <c r="E133" s="925" t="s">
        <v>1795</v>
      </c>
      <c r="F133" s="925"/>
      <c r="G133" s="925" t="s">
        <v>365</v>
      </c>
      <c r="H133" s="925"/>
      <c r="I133" s="925"/>
      <c r="J133" s="925" t="s">
        <v>1795</v>
      </c>
      <c r="K133" s="925"/>
      <c r="L133" s="1273"/>
      <c r="M133" s="1273"/>
      <c r="N133" s="1273"/>
      <c r="O133" s="1273"/>
      <c r="P133" s="846"/>
      <c r="R133" s="10"/>
      <c r="S133" s="50" t="s">
        <v>1572</v>
      </c>
      <c r="T133" s="259" t="s">
        <v>1595</v>
      </c>
      <c r="U133" s="259" t="s">
        <v>1596</v>
      </c>
      <c r="V133" s="925" t="s">
        <v>1083</v>
      </c>
      <c r="W133" s="925"/>
      <c r="Y133" s="18">
        <f>IF(OR(O129&gt;0,O130&gt;0,E135&gt;0,E137&gt;0),1,0)</f>
        <v>0</v>
      </c>
      <c r="Z133" s="641">
        <f>IF(AND(OR(O129&gt;0,O130&gt;0),OR(E134&gt;0,E136&gt;0),C139&gt;0),C139*O138,O138)</f>
        <v>0</v>
      </c>
      <c r="AA133" s="639">
        <f>IF(AND(Y133=0,C139&gt;0),C139*AB138,AB138)</f>
        <v>0</v>
      </c>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3">
      <c r="B134" s="297" t="s">
        <v>1334</v>
      </c>
      <c r="C134" s="1260"/>
      <c r="D134" s="1261"/>
      <c r="E134" s="1202">
        <f>LETable!AT24</f>
        <v>0</v>
      </c>
      <c r="F134" s="1202"/>
      <c r="G134" s="708"/>
      <c r="H134" s="708"/>
      <c r="I134" s="708"/>
      <c r="J134" s="1206">
        <f>IF(C134="",0,IF(OR(C134&lt;=0,G134&lt;=0),E134,IF(G134&lt;C134,0,LETable!AY24)))</f>
        <v>0</v>
      </c>
      <c r="K134" s="1206"/>
      <c r="L134" s="1256" t="str">
        <f>IF(OR(C134="NA",G134="NA"),"",IF(AND(C134&lt;&gt;"",G134=""),"Enter contralateral or NA.",IF(AND(C134="",G134&lt;&gt;""),"Need data","")))</f>
        <v/>
      </c>
      <c r="M134" s="1256"/>
      <c r="N134" s="1256"/>
      <c r="O134" s="1257"/>
      <c r="P134" s="846"/>
      <c r="S134" s="50">
        <v>40</v>
      </c>
      <c r="T134" s="50" t="str">
        <f>IF(OR(C134="",C134="NA"),"",IF(C134&gt;S134,S134,IF(C134&lt;0,0,C134)))</f>
        <v/>
      </c>
      <c r="U134" s="50" t="str">
        <f>IF(OR(G134="",G134="NA"),"",IF(G134&gt;S134,S134,IF(G134&lt;0,0,G134)))</f>
        <v/>
      </c>
      <c r="V134" s="562" t="str">
        <f>IF(W134="","",ROUND(W134,0))</f>
        <v/>
      </c>
      <c r="W134" s="563"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3">
      <c r="B135" s="297" t="s">
        <v>1335</v>
      </c>
      <c r="C135" s="1260"/>
      <c r="D135" s="1261"/>
      <c r="E135" s="1202">
        <f>IF(AND(C135&lt;&gt;"",C135&lt;&gt;"NA",C134&lt;&gt;"NA",C134&lt;&gt;""),"ERROR",IF(AND(C135&lt;&gt;"",C135&lt;&gt;"NA",C136&lt;&gt;"",C136&lt;&gt;"NA"),"ERROR",LETable!AT25))</f>
        <v>0</v>
      </c>
      <c r="F135" s="1202"/>
      <c r="G135" s="946" t="str">
        <f>IF(E135="ERROR","Error: Cannot rate ROM and ankylosis.","")</f>
        <v/>
      </c>
      <c r="H135" s="946"/>
      <c r="I135" s="946"/>
      <c r="J135" s="946"/>
      <c r="K135" s="946"/>
      <c r="L135" s="946"/>
      <c r="M135" s="946"/>
      <c r="N135" s="946"/>
      <c r="O135" s="1073"/>
      <c r="P135" s="846"/>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3">
      <c r="B136" s="128" t="s">
        <v>1255</v>
      </c>
      <c r="C136" s="1260"/>
      <c r="D136" s="1261"/>
      <c r="E136" s="1202">
        <f>LETable!AT26</f>
        <v>0</v>
      </c>
      <c r="F136" s="1202"/>
      <c r="G136" s="708"/>
      <c r="H136" s="708"/>
      <c r="I136" s="708"/>
      <c r="J136" s="1206">
        <f>IF(C136="",0,IF(OR(C136&lt;=0,G136&lt;=0),E136,IF(G136&lt;C136,0,LETable!AY26)))</f>
        <v>0</v>
      </c>
      <c r="K136" s="1206"/>
      <c r="L136" s="1256" t="str">
        <f>IF(OR(C136="NA",G136="NA"),"",IF(AND(C136&lt;&gt;"",G136=""),"Enter contralateral or NA.",IF(AND(C136="",G136&lt;&gt;""),"Need data","")))</f>
        <v/>
      </c>
      <c r="M136" s="1256"/>
      <c r="N136" s="1256"/>
      <c r="O136" s="1257"/>
      <c r="P136" s="846"/>
      <c r="R136" s="10"/>
      <c r="S136" s="50">
        <v>30</v>
      </c>
      <c r="T136" s="50" t="str">
        <f>IF(OR(C136="",C136="NA"),"",IF(C136&gt;S136,S136,IF(C136&lt;0,0,C136)))</f>
        <v/>
      </c>
      <c r="U136" s="50"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3">
      <c r="B137" s="296" t="s">
        <v>1839</v>
      </c>
      <c r="C137" s="1260"/>
      <c r="D137" s="1275"/>
      <c r="E137" s="1202">
        <f>IF(AND(C137&lt;&gt;"",C137&lt;&gt;"NA",C136&lt;&gt;"NA",C136&lt;&gt;""),"ERROR",IF(AND(C137&lt;&gt;"",C137&lt;&gt;"NA",C134&lt;&gt;"",C134&lt;&gt;"NA"),"ERROR",LETable!AT27))</f>
        <v>0</v>
      </c>
      <c r="F137" s="1202"/>
      <c r="G137" s="1203" t="str">
        <f>IF(E137="ERROR","Error: Cannot rate ROM and ankylosis.",IF(AND(C135&lt;&gt;"",C135&lt;&gt;"NA",C137&lt;&gt;"",C137&lt;&gt;"NA"),"Multiple ankylosis values; use higher value only.",""))</f>
        <v/>
      </c>
      <c r="H137" s="1204"/>
      <c r="I137" s="1204"/>
      <c r="J137" s="1204"/>
      <c r="K137" s="1204"/>
      <c r="L137" s="1204"/>
      <c r="M137" s="1204"/>
      <c r="N137" s="1204"/>
      <c r="O137" s="1205"/>
      <c r="P137" s="846"/>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3">
      <c r="B138" s="636"/>
      <c r="C138" s="637"/>
      <c r="D138" s="637"/>
      <c r="E138" s="998" t="str">
        <f>IF(AND(OR(O129&gt;0,O130&gt;0,E135&gt;0,E137&gt;0),C139&gt;0),"Note: Ankylosis impairment is not apportioned.","")</f>
        <v/>
      </c>
      <c r="F138" s="999"/>
      <c r="G138" s="999"/>
      <c r="H138" s="999"/>
      <c r="I138" s="999"/>
      <c r="J138" s="1000"/>
      <c r="K138" s="1099" t="s">
        <v>1841</v>
      </c>
      <c r="L138" s="1100"/>
      <c r="M138" s="1100"/>
      <c r="N138" s="1101"/>
      <c r="O138" s="65">
        <f>IF(OR(E135="ERROR",E137="ERROR"),"ERROR",IF(R138&gt;1,1,R138))</f>
        <v>0</v>
      </c>
      <c r="P138" s="847"/>
      <c r="R138" s="194">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3">
      <c r="B139" s="13" t="s">
        <v>2255</v>
      </c>
      <c r="C139" s="935"/>
      <c r="D139" s="960"/>
      <c r="E139" s="975"/>
      <c r="F139" s="976"/>
      <c r="G139" s="976"/>
      <c r="H139" s="976"/>
      <c r="I139" s="976"/>
      <c r="J139" s="977"/>
      <c r="K139" s="1099" t="s">
        <v>432</v>
      </c>
      <c r="L139" s="1100"/>
      <c r="M139" s="1100"/>
      <c r="N139" s="1100"/>
      <c r="O139" s="1101"/>
      <c r="P139" s="248">
        <f>IF(O138="ERROR","ERROR",IF(AND(AA133&gt;0,AA133&lt;0.01),0.01,ROUND(AA133,2)))</f>
        <v>0</v>
      </c>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3">
      <c r="B140" s="1211"/>
      <c r="C140" s="1211"/>
      <c r="D140" s="1211"/>
      <c r="E140" s="1211"/>
      <c r="F140" s="1211"/>
      <c r="G140" s="1211"/>
      <c r="H140" s="1211"/>
      <c r="I140" s="1211"/>
      <c r="J140" s="1211"/>
      <c r="K140" s="1211"/>
      <c r="L140" s="1211"/>
      <c r="M140" s="1211"/>
      <c r="N140" s="1211"/>
      <c r="O140" s="1211"/>
      <c r="P140" s="384"/>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3">
      <c r="B141" s="940" t="s">
        <v>2007</v>
      </c>
      <c r="C141" s="941"/>
      <c r="D141" s="941"/>
      <c r="E141" s="941"/>
      <c r="F141" s="941"/>
      <c r="G141" s="941"/>
      <c r="H141" s="941"/>
      <c r="I141" s="941"/>
      <c r="J141" s="941"/>
      <c r="K141" s="941"/>
      <c r="L141" s="941"/>
      <c r="M141" s="941"/>
      <c r="N141" s="941"/>
      <c r="O141" s="941"/>
      <c r="P141" s="38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3">
      <c r="B142" s="308" t="s">
        <v>2011</v>
      </c>
      <c r="C142" s="1281"/>
      <c r="D142" s="1282"/>
      <c r="E142" s="1282"/>
      <c r="F142" s="1282"/>
      <c r="G142" s="1282"/>
      <c r="H142" s="1282"/>
      <c r="I142" s="1282"/>
      <c r="J142" s="1282"/>
      <c r="K142" s="1282"/>
      <c r="L142" s="1282"/>
      <c r="M142" s="1282"/>
      <c r="N142" s="1283"/>
      <c r="O142" s="70"/>
      <c r="P142" s="528">
        <f>IF($W$239&gt;0,0,R142)</f>
        <v>0</v>
      </c>
      <c r="R142" s="147">
        <f>IF(C142=S142,0,IF(C142=T142,0.05,IF(C142=U142,0.1,0)))</f>
        <v>0</v>
      </c>
      <c r="S142" s="50" t="s">
        <v>1941</v>
      </c>
      <c r="T142" s="50" t="s">
        <v>1784</v>
      </c>
      <c r="U142" s="50" t="s">
        <v>1785</v>
      </c>
      <c r="V142" s="97"/>
      <c r="W142" s="96"/>
      <c r="X142" s="133"/>
      <c r="Y142" s="13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3">
      <c r="B143" s="308" t="s">
        <v>2012</v>
      </c>
      <c r="C143" s="1270"/>
      <c r="D143" s="1271"/>
      <c r="E143" s="1271"/>
      <c r="F143" s="1271"/>
      <c r="G143" s="1271"/>
      <c r="H143" s="1271"/>
      <c r="I143" s="1271"/>
      <c r="J143" s="1271"/>
      <c r="K143" s="1271"/>
      <c r="L143" s="1271"/>
      <c r="M143" s="1271"/>
      <c r="N143" s="1280"/>
      <c r="O143" s="71"/>
      <c r="P143" s="21">
        <f>IF($W$239&gt;0,0,R143)</f>
        <v>0</v>
      </c>
      <c r="R143" s="147">
        <f>IF(C143=S143,0,IF(C143=T143,0.05,IF(C143=U143,0.1,0)))</f>
        <v>0</v>
      </c>
      <c r="S143" s="50" t="s">
        <v>1941</v>
      </c>
      <c r="T143" s="50" t="s">
        <v>1996</v>
      </c>
      <c r="U143" s="50" t="s">
        <v>1997</v>
      </c>
      <c r="V143" s="97"/>
      <c r="W143" s="96"/>
      <c r="X143" s="133"/>
      <c r="Y143" s="13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3">
      <c r="B144" s="1056" t="str">
        <f>IF(AND(OR(R142&gt;0,R143&gt;0),$W$239&gt;0),"A value has been given for loss of sensation or hypersensitivity in the foot. No additional value is allowed for the toes.","")</f>
        <v/>
      </c>
      <c r="C144" s="1056"/>
      <c r="D144" s="1056"/>
      <c r="E144" s="1056"/>
      <c r="F144" s="1056"/>
      <c r="G144" s="1056"/>
      <c r="H144" s="1056"/>
      <c r="I144" s="1056"/>
      <c r="J144" s="1056"/>
      <c r="K144" s="1056"/>
      <c r="L144" s="1056"/>
      <c r="M144" s="1056"/>
      <c r="N144" s="1056"/>
      <c r="O144" s="1056"/>
      <c r="P144" s="529"/>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3">
      <c r="A145" s="2"/>
      <c r="B145" s="712"/>
      <c r="C145" s="792"/>
      <c r="D145" s="792"/>
      <c r="E145" s="792"/>
      <c r="F145" s="792"/>
      <c r="G145" s="792"/>
      <c r="H145" s="792"/>
      <c r="I145" s="792"/>
      <c r="J145" s="792"/>
      <c r="K145" s="792"/>
      <c r="L145" s="792"/>
      <c r="M145" s="792"/>
      <c r="N145" s="792"/>
      <c r="O145" s="792"/>
      <c r="P145" s="63"/>
      <c r="Q145" s="2"/>
      <c r="R145" s="10"/>
      <c r="S145" s="10"/>
      <c r="Y145" s="10"/>
      <c r="Z145" s="739"/>
      <c r="AA145" s="739"/>
      <c r="AB145" s="739"/>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3">
      <c r="A146" s="2"/>
      <c r="B146" s="776" t="s">
        <v>2015</v>
      </c>
      <c r="C146" s="776"/>
      <c r="D146" s="776"/>
      <c r="E146" s="776"/>
      <c r="F146" s="776"/>
      <c r="G146" s="776"/>
      <c r="H146" s="776"/>
      <c r="I146" s="776"/>
      <c r="J146" s="776"/>
      <c r="K146" s="776"/>
      <c r="L146" s="776"/>
      <c r="M146" s="776"/>
      <c r="N146" s="708"/>
      <c r="O146" s="708"/>
      <c r="P146" s="21">
        <f>IF(N146=T146,0.03,IF(N146=U146,0.15,IF(N146=V146,0.38,IF(N146=W146,0.68,IF(N146=X146,0.9,0)))))</f>
        <v>0</v>
      </c>
      <c r="Q146" s="2"/>
      <c r="R146" s="878" t="s">
        <v>2196</v>
      </c>
      <c r="S146" s="878"/>
      <c r="T146" s="50" t="s">
        <v>1968</v>
      </c>
      <c r="U146" s="50" t="s">
        <v>1969</v>
      </c>
      <c r="V146" s="147" t="s">
        <v>1971</v>
      </c>
      <c r="W146" s="50" t="s">
        <v>945</v>
      </c>
      <c r="X146" s="147" t="s">
        <v>558</v>
      </c>
      <c r="Y146" s="10"/>
      <c r="Z146" s="739"/>
      <c r="AA146" s="739"/>
      <c r="AB146" s="739"/>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3">
      <c r="B147" s="527"/>
      <c r="C147" s="527"/>
      <c r="D147" s="527"/>
      <c r="E147" s="527"/>
      <c r="F147" s="527"/>
      <c r="G147" s="527"/>
      <c r="H147" s="527"/>
      <c r="I147" s="527"/>
      <c r="J147" s="527"/>
      <c r="K147" s="527"/>
      <c r="L147" s="527"/>
      <c r="M147" s="527"/>
      <c r="N147" s="527"/>
      <c r="O147" s="527"/>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3">
      <c r="A148" s="15"/>
      <c r="B148" s="259" t="s">
        <v>1708</v>
      </c>
      <c r="C148" s="1083"/>
      <c r="D148" s="1022"/>
      <c r="E148" s="757" t="s">
        <v>1709</v>
      </c>
      <c r="F148" s="758"/>
      <c r="G148" s="758"/>
      <c r="H148" s="758"/>
      <c r="I148" s="758"/>
      <c r="J148" s="758"/>
      <c r="K148" s="758"/>
      <c r="L148" s="758"/>
      <c r="M148" s="758"/>
      <c r="N148" s="758"/>
      <c r="O148" s="759"/>
      <c r="P148" s="248">
        <f>IF(T148=1,0.15,0)</f>
        <v>0</v>
      </c>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3">
      <c r="B149" s="259" t="s">
        <v>1710</v>
      </c>
      <c r="C149" s="1083"/>
      <c r="D149" s="1022"/>
      <c r="E149" s="757" t="s">
        <v>1711</v>
      </c>
      <c r="F149" s="758"/>
      <c r="G149" s="758"/>
      <c r="H149" s="758"/>
      <c r="I149" s="758"/>
      <c r="J149" s="758"/>
      <c r="K149" s="758"/>
      <c r="L149" s="758"/>
      <c r="M149" s="758"/>
      <c r="N149" s="758"/>
      <c r="O149" s="759"/>
      <c r="P149" s="248">
        <f>IF(T149=1,0.25,0)</f>
        <v>0</v>
      </c>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3">
      <c r="B150" s="386" t="s">
        <v>626</v>
      </c>
      <c r="C150" s="1025"/>
      <c r="D150" s="1025"/>
      <c r="E150" s="937" t="s">
        <v>627</v>
      </c>
      <c r="F150" s="938"/>
      <c r="G150" s="938"/>
      <c r="H150" s="938"/>
      <c r="I150" s="938"/>
      <c r="J150" s="938"/>
      <c r="K150" s="938"/>
      <c r="L150" s="938"/>
      <c r="M150" s="938"/>
      <c r="N150" s="938"/>
      <c r="O150" s="939"/>
      <c r="P150" s="299">
        <f>IF(T150=1,0.25,0)</f>
        <v>0</v>
      </c>
      <c r="R150" s="10"/>
      <c r="S150" s="570"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3">
      <c r="B151" s="1212"/>
      <c r="C151" s="1212"/>
      <c r="D151" s="1212"/>
      <c r="E151" s="1212"/>
      <c r="F151" s="1212"/>
      <c r="G151" s="1212"/>
      <c r="H151" s="1212"/>
      <c r="I151" s="1212"/>
      <c r="J151" s="1212"/>
      <c r="K151" s="1212"/>
      <c r="L151" s="1212"/>
      <c r="M151" s="1212"/>
      <c r="N151" s="1212"/>
      <c r="O151" s="1212"/>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3">
      <c r="B152" s="879" t="s">
        <v>818</v>
      </c>
      <c r="C152" s="880"/>
      <c r="D152" s="880"/>
      <c r="E152" s="880"/>
      <c r="F152" s="880"/>
      <c r="G152" s="927" t="s">
        <v>1524</v>
      </c>
      <c r="H152" s="925"/>
      <c r="I152" s="925"/>
      <c r="J152" s="925"/>
      <c r="K152" s="925"/>
      <c r="L152" s="1367"/>
      <c r="M152" s="1368"/>
      <c r="N152" s="1368"/>
      <c r="O152" s="1369"/>
      <c r="P152" s="872">
        <f>IF(J161&gt;0,J161,V159)</f>
        <v>0</v>
      </c>
      <c r="R152" s="10"/>
      <c r="S152" s="50" t="s">
        <v>1864</v>
      </c>
      <c r="T152" s="50" t="s">
        <v>1304</v>
      </c>
      <c r="U152" s="50" t="s">
        <v>1305</v>
      </c>
      <c r="V152" s="50" t="s">
        <v>1306</v>
      </c>
      <c r="W152" s="6"/>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3">
      <c r="B153" s="791" t="s">
        <v>628</v>
      </c>
      <c r="C153" s="791"/>
      <c r="D153" s="791"/>
      <c r="E153" s="996">
        <f>P126</f>
        <v>0</v>
      </c>
      <c r="F153" s="997"/>
      <c r="G153" s="940" t="s">
        <v>1941</v>
      </c>
      <c r="H153" s="941"/>
      <c r="I153" s="942"/>
      <c r="J153" s="925"/>
      <c r="K153" s="925"/>
      <c r="L153" s="1003"/>
      <c r="M153" s="1004"/>
      <c r="N153" s="1004"/>
      <c r="O153" s="1005"/>
      <c r="P153" s="1010"/>
      <c r="R153" s="10"/>
      <c r="S153" s="557">
        <f>E153</f>
        <v>0</v>
      </c>
      <c r="T153" s="147">
        <f>LARGE($S$153:$S$160,1)</f>
        <v>0</v>
      </c>
      <c r="U153" s="553">
        <f>T153+T154*(1-T153)</f>
        <v>0</v>
      </c>
      <c r="V153" s="557">
        <f t="shared" ref="V153:V159" si="8">ROUND(U153,2)</f>
        <v>0</v>
      </c>
      <c r="W153" s="6"/>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3">
      <c r="B154" s="806" t="s">
        <v>1958</v>
      </c>
      <c r="C154" s="806"/>
      <c r="D154" s="806"/>
      <c r="E154" s="770">
        <f>IF(P427&gt;0,0,P139)</f>
        <v>0</v>
      </c>
      <c r="F154" s="746"/>
      <c r="G154" s="1115" t="s">
        <v>2256</v>
      </c>
      <c r="H154" s="1177"/>
      <c r="I154" s="1116"/>
      <c r="J154" s="925"/>
      <c r="K154" s="925"/>
      <c r="L154" s="1006"/>
      <c r="M154" s="1007"/>
      <c r="N154" s="1007"/>
      <c r="O154" s="1008"/>
      <c r="P154" s="1010"/>
      <c r="R154" s="10"/>
      <c r="S154" s="147">
        <f>IF(J154&gt;0,J154,E154)</f>
        <v>0</v>
      </c>
      <c r="T154" s="147">
        <f>LARGE($S$153:$S$160,2)</f>
        <v>0</v>
      </c>
      <c r="U154" s="553">
        <f t="shared" ref="U154:U159" si="9">V153+T155*(1-V153)</f>
        <v>0</v>
      </c>
      <c r="V154" s="557">
        <f t="shared" si="8"/>
        <v>0</v>
      </c>
      <c r="W154" s="6"/>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3">
      <c r="B155" s="806" t="s">
        <v>2016</v>
      </c>
      <c r="C155" s="806"/>
      <c r="D155" s="806"/>
      <c r="E155" s="770">
        <f>P142</f>
        <v>0</v>
      </c>
      <c r="F155" s="746"/>
      <c r="G155" s="1028"/>
      <c r="H155" s="1028"/>
      <c r="I155" s="1028"/>
      <c r="J155" s="1359">
        <f>IF(AND(W155&lt;0.01,W155&gt;0),0.01,ROUND(W155,2))</f>
        <v>0</v>
      </c>
      <c r="K155" s="1359"/>
      <c r="L155" s="633"/>
      <c r="M155" s="634"/>
      <c r="N155" s="634"/>
      <c r="O155" s="635"/>
      <c r="P155" s="1010"/>
      <c r="R155" s="10"/>
      <c r="S155" s="147">
        <f>IF(J155&gt;0,J155,E155)</f>
        <v>0</v>
      </c>
      <c r="T155" s="147">
        <f>LARGE($S$153:$S$160,3)</f>
        <v>0</v>
      </c>
      <c r="U155" s="553">
        <f t="shared" si="9"/>
        <v>0</v>
      </c>
      <c r="V155" s="557">
        <f t="shared" si="8"/>
        <v>0</v>
      </c>
      <c r="W155" s="603">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3">
      <c r="B156" s="757" t="s">
        <v>1226</v>
      </c>
      <c r="C156" s="758"/>
      <c r="D156" s="759"/>
      <c r="E156" s="770">
        <f>P143</f>
        <v>0</v>
      </c>
      <c r="F156" s="746"/>
      <c r="G156" s="1028"/>
      <c r="H156" s="1028"/>
      <c r="I156" s="1028"/>
      <c r="J156" s="1359">
        <f>IF(AND(W156&lt;0.01,W156&gt;0),0.01,ROUND(W156,2))</f>
        <v>0</v>
      </c>
      <c r="K156" s="1359"/>
      <c r="L156" s="633"/>
      <c r="M156" s="634"/>
      <c r="N156" s="634"/>
      <c r="O156" s="635"/>
      <c r="P156" s="1010"/>
      <c r="R156" s="10"/>
      <c r="S156" s="147">
        <f>IF(J156&gt;0,J156,E156)</f>
        <v>0</v>
      </c>
      <c r="T156" s="147">
        <f>LARGE($S$153:$S$160,4)</f>
        <v>0</v>
      </c>
      <c r="U156" s="553">
        <f t="shared" si="9"/>
        <v>0</v>
      </c>
      <c r="V156" s="557">
        <f t="shared" si="8"/>
        <v>0</v>
      </c>
      <c r="W156" s="603">
        <f t="shared" ref="W156:W157" si="10">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3">
      <c r="B157" s="757" t="s">
        <v>1446</v>
      </c>
      <c r="C157" s="758"/>
      <c r="D157" s="759"/>
      <c r="E157" s="742">
        <f>P146</f>
        <v>0</v>
      </c>
      <c r="F157" s="744"/>
      <c r="G157" s="1028"/>
      <c r="H157" s="1028"/>
      <c r="I157" s="1028"/>
      <c r="J157" s="1359">
        <f>IF(AND(W157&lt;0.01,W157&gt;0),0.01,ROUND(W157,2))</f>
        <v>0</v>
      </c>
      <c r="K157" s="1359"/>
      <c r="L157" s="972" t="str">
        <f>IF(AND(P139&gt;0,$P$427&gt;0),"The worker has motor loss impairment. No additional impairment value is allowed for reduced range of motion in the same extremity.","")</f>
        <v/>
      </c>
      <c r="M157" s="973"/>
      <c r="N157" s="973"/>
      <c r="O157" s="974"/>
      <c r="P157" s="1010"/>
      <c r="R157" s="10"/>
      <c r="S157" s="147">
        <f>IF(J157&gt;0,J157,E157)</f>
        <v>0</v>
      </c>
      <c r="T157" s="147">
        <f>LARGE($S$153:$S$160,5)</f>
        <v>0</v>
      </c>
      <c r="U157" s="553">
        <f t="shared" si="9"/>
        <v>0</v>
      </c>
      <c r="V157" s="557">
        <f t="shared" si="8"/>
        <v>0</v>
      </c>
      <c r="W157" s="603">
        <f t="shared" si="10"/>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3">
      <c r="B158" s="806" t="s">
        <v>1712</v>
      </c>
      <c r="C158" s="806"/>
      <c r="D158" s="806"/>
      <c r="E158" s="770">
        <f>P148</f>
        <v>0</v>
      </c>
      <c r="F158" s="746"/>
      <c r="G158" s="940" t="s">
        <v>1941</v>
      </c>
      <c r="H158" s="941"/>
      <c r="I158" s="942"/>
      <c r="J158" s="925"/>
      <c r="K158" s="925"/>
      <c r="L158" s="972"/>
      <c r="M158" s="973"/>
      <c r="N158" s="973"/>
      <c r="O158" s="974"/>
      <c r="P158" s="1010"/>
      <c r="R158" s="10"/>
      <c r="S158" s="557">
        <f>E158</f>
        <v>0</v>
      </c>
      <c r="T158" s="147">
        <f>LARGE($S$153:$S$160,6)</f>
        <v>0</v>
      </c>
      <c r="U158" s="553">
        <f t="shared" si="9"/>
        <v>0</v>
      </c>
      <c r="V158" s="557">
        <f t="shared" si="8"/>
        <v>0</v>
      </c>
      <c r="W158" s="10"/>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3">
      <c r="B159" s="757" t="s">
        <v>1713</v>
      </c>
      <c r="C159" s="758"/>
      <c r="D159" s="759"/>
      <c r="E159" s="742">
        <f>P149</f>
        <v>0</v>
      </c>
      <c r="F159" s="744"/>
      <c r="G159" s="940" t="s">
        <v>1941</v>
      </c>
      <c r="H159" s="941"/>
      <c r="I159" s="942"/>
      <c r="J159" s="925"/>
      <c r="K159" s="925"/>
      <c r="L159" s="972"/>
      <c r="M159" s="973"/>
      <c r="N159" s="973"/>
      <c r="O159" s="974"/>
      <c r="P159" s="1010"/>
      <c r="R159" s="10"/>
      <c r="S159" s="557">
        <f>E159</f>
        <v>0</v>
      </c>
      <c r="T159" s="147">
        <f>LARGE($S$153:$S$160,7)</f>
        <v>0</v>
      </c>
      <c r="U159" s="553">
        <f t="shared" si="9"/>
        <v>0</v>
      </c>
      <c r="V159" s="557">
        <f t="shared" si="8"/>
        <v>0</v>
      </c>
      <c r="W159" s="10"/>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3">
      <c r="B160" s="804" t="s">
        <v>1128</v>
      </c>
      <c r="C160" s="804"/>
      <c r="D160" s="804"/>
      <c r="E160" s="1015">
        <f>P150</f>
        <v>0</v>
      </c>
      <c r="F160" s="1015"/>
      <c r="G160" s="1166" t="s">
        <v>1941</v>
      </c>
      <c r="H160" s="1161"/>
      <c r="I160" s="1167"/>
      <c r="J160" s="845"/>
      <c r="K160" s="845"/>
      <c r="L160" s="972"/>
      <c r="M160" s="973"/>
      <c r="N160" s="973"/>
      <c r="O160" s="974"/>
      <c r="P160" s="1010"/>
      <c r="R160" s="10"/>
      <c r="S160" s="557">
        <f>E160</f>
        <v>0</v>
      </c>
      <c r="T160" s="147">
        <f>LARGE($S$153:$S$160,8)</f>
        <v>0</v>
      </c>
      <c r="U160" s="96"/>
      <c r="V160" s="129"/>
      <c r="W160" s="6"/>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3">
      <c r="B161" s="1373" t="s">
        <v>446</v>
      </c>
      <c r="C161" s="1373"/>
      <c r="D161" s="1373"/>
      <c r="E161" s="1373"/>
      <c r="F161" s="1373"/>
      <c r="G161" s="1373"/>
      <c r="H161" s="1373"/>
      <c r="I161" s="1373"/>
      <c r="J161" s="1373"/>
      <c r="K161" s="1373"/>
      <c r="L161" s="1373"/>
      <c r="M161" s="1373"/>
      <c r="N161" s="1373"/>
      <c r="O161" s="1373"/>
      <c r="P161" s="996"/>
      <c r="R161" s="10"/>
      <c r="S161" s="14"/>
      <c r="T161" s="96"/>
      <c r="U161" s="129"/>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3">
      <c r="B162" s="792"/>
      <c r="C162" s="792"/>
      <c r="D162" s="792"/>
      <c r="E162" s="792"/>
      <c r="F162" s="792"/>
      <c r="G162" s="792"/>
      <c r="H162" s="792"/>
      <c r="I162" s="792"/>
      <c r="J162" s="792"/>
      <c r="K162" s="792"/>
      <c r="L162" s="792"/>
      <c r="M162" s="792"/>
      <c r="N162" s="792"/>
      <c r="O162" s="792"/>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3">
      <c r="B163" s="792"/>
      <c r="C163" s="792"/>
      <c r="D163" s="792"/>
      <c r="E163" s="792"/>
      <c r="F163" s="792"/>
      <c r="G163" s="792"/>
      <c r="H163" s="792"/>
      <c r="I163" s="792"/>
      <c r="J163" s="792"/>
      <c r="K163" s="792"/>
      <c r="L163" s="792"/>
      <c r="M163" s="792"/>
      <c r="N163" s="792"/>
      <c r="O163" s="792"/>
      <c r="P163" s="79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3">
      <c r="B164" s="947" t="s">
        <v>708</v>
      </c>
      <c r="C164" s="878"/>
      <c r="D164" s="878"/>
      <c r="E164" s="878"/>
      <c r="F164" s="878"/>
      <c r="G164" s="878"/>
      <c r="H164" s="878"/>
      <c r="I164" s="878"/>
      <c r="J164" s="878"/>
      <c r="K164" s="878"/>
      <c r="L164" s="878"/>
      <c r="M164" s="878"/>
      <c r="N164" s="878"/>
      <c r="O164" s="878"/>
      <c r="P164" s="87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3">
      <c r="B165" s="925" t="s">
        <v>709</v>
      </c>
      <c r="C165" s="925"/>
      <c r="D165" s="925"/>
      <c r="E165" s="925"/>
      <c r="F165" s="925"/>
      <c r="G165" s="925"/>
      <c r="H165" s="925"/>
      <c r="I165" s="925"/>
      <c r="J165" s="925"/>
      <c r="K165" s="925"/>
      <c r="L165" s="925"/>
      <c r="M165" s="925"/>
      <c r="N165" s="925"/>
      <c r="O165" s="925"/>
      <c r="P165" s="925"/>
      <c r="R165" s="10"/>
      <c r="S165" s="10"/>
      <c r="T165" s="77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3">
      <c r="B166" s="1014"/>
      <c r="C166" s="1014"/>
      <c r="D166" s="1014"/>
      <c r="E166" s="1014"/>
      <c r="F166" s="1014"/>
      <c r="G166" s="1014"/>
      <c r="H166" s="1014"/>
      <c r="I166" s="1014"/>
      <c r="J166" s="1014"/>
      <c r="K166" s="1014"/>
      <c r="L166" s="1014"/>
      <c r="M166" s="1014"/>
      <c r="N166" s="1014"/>
      <c r="O166" s="1014"/>
      <c r="P166" s="21">
        <f>SUMIF(U165:AO165,B166,U166:AO166)</f>
        <v>0</v>
      </c>
      <c r="R166" s="10"/>
      <c r="S166" s="10"/>
      <c r="T166" s="77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35">
      <c r="B167" s="1244"/>
      <c r="C167" s="1244"/>
      <c r="D167" s="1244"/>
      <c r="E167" s="1244"/>
      <c r="F167" s="1244"/>
      <c r="G167" s="1244"/>
      <c r="H167" s="1244"/>
      <c r="I167" s="1244"/>
      <c r="J167" s="1244"/>
      <c r="K167" s="1244"/>
      <c r="L167" s="1244"/>
      <c r="M167" s="1244"/>
      <c r="N167" s="1244"/>
      <c r="O167" s="1244"/>
      <c r="P167" s="1244"/>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3">
      <c r="B168" s="940" t="s">
        <v>809</v>
      </c>
      <c r="C168" s="941"/>
      <c r="D168" s="941"/>
      <c r="E168" s="941"/>
      <c r="F168" s="941"/>
      <c r="G168" s="941"/>
      <c r="H168" s="941"/>
      <c r="I168" s="941"/>
      <c r="J168" s="941"/>
      <c r="K168" s="941"/>
      <c r="L168" s="941"/>
      <c r="M168" s="941"/>
      <c r="N168" s="941"/>
      <c r="O168" s="941"/>
      <c r="P168" s="845"/>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3">
      <c r="B169" s="285" t="s">
        <v>1545</v>
      </c>
      <c r="C169" s="1277"/>
      <c r="D169" s="1278"/>
      <c r="E169" s="1278"/>
      <c r="F169" s="1278"/>
      <c r="G169" s="1278"/>
      <c r="H169" s="1278"/>
      <c r="I169" s="1278"/>
      <c r="J169" s="1278"/>
      <c r="K169" s="1278"/>
      <c r="L169" s="1272"/>
      <c r="M169" s="1273"/>
      <c r="N169" s="1274"/>
      <c r="O169" s="67">
        <f>IF(C169=T169,0.45,IF(C169=U169,0.3,IF(C169=V169,0.45,0)))</f>
        <v>0</v>
      </c>
      <c r="P169" s="846"/>
      <c r="R169" s="947"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3">
      <c r="B170" s="277" t="s">
        <v>1705</v>
      </c>
      <c r="C170" s="1260"/>
      <c r="D170" s="1269"/>
      <c r="E170" s="1269"/>
      <c r="F170" s="1269"/>
      <c r="G170" s="1269"/>
      <c r="H170" s="1269"/>
      <c r="I170" s="1269"/>
      <c r="J170" s="1269"/>
      <c r="K170" s="1269"/>
      <c r="L170" s="1019"/>
      <c r="M170" s="1020"/>
      <c r="N170" s="1021"/>
      <c r="O170" s="64">
        <f>IF(C170=T170,0.8,IF(C170=U170,0.45,IF(C170=V170,0.8,0)))</f>
        <v>0</v>
      </c>
      <c r="P170" s="846"/>
      <c r="R170" s="947"/>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3">
      <c r="B171" s="1276"/>
      <c r="C171" s="1211"/>
      <c r="D171" s="1211"/>
      <c r="E171" s="1211"/>
      <c r="F171" s="1211"/>
      <c r="G171" s="1211"/>
      <c r="H171" s="1211"/>
      <c r="I171" s="1211"/>
      <c r="J171" s="1211"/>
      <c r="K171" s="1211"/>
      <c r="L171" s="1211"/>
      <c r="M171" s="1211"/>
      <c r="N171" s="1211"/>
      <c r="O171" s="1211"/>
      <c r="P171" s="846"/>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3">
      <c r="B172" s="201"/>
      <c r="C172" s="940" t="s">
        <v>1595</v>
      </c>
      <c r="D172" s="941"/>
      <c r="E172" s="941"/>
      <c r="F172" s="941"/>
      <c r="G172" s="927" t="s">
        <v>1081</v>
      </c>
      <c r="H172" s="927"/>
      <c r="I172" s="927"/>
      <c r="J172" s="927"/>
      <c r="K172" s="927"/>
      <c r="L172" s="1098"/>
      <c r="M172" s="1102"/>
      <c r="N172" s="1102"/>
      <c r="O172" s="1102"/>
      <c r="P172" s="846"/>
      <c r="R172" s="10"/>
      <c r="T172" s="58"/>
      <c r="U172" s="58"/>
      <c r="V172" s="10"/>
      <c r="W172" s="10"/>
      <c r="X172" s="10"/>
      <c r="Y172" s="922" t="s">
        <v>2259</v>
      </c>
      <c r="Z172" s="926"/>
      <c r="AA172" s="923"/>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3">
      <c r="B173" s="128" t="s">
        <v>1840</v>
      </c>
      <c r="C173" s="925" t="s">
        <v>365</v>
      </c>
      <c r="D173" s="925"/>
      <c r="E173" s="925" t="s">
        <v>1795</v>
      </c>
      <c r="F173" s="925"/>
      <c r="G173" s="845" t="s">
        <v>365</v>
      </c>
      <c r="H173" s="845"/>
      <c r="I173" s="845"/>
      <c r="J173" s="845" t="s">
        <v>1795</v>
      </c>
      <c r="K173" s="845"/>
      <c r="L173" s="961"/>
      <c r="M173" s="961"/>
      <c r="N173" s="961"/>
      <c r="O173" s="961"/>
      <c r="P173" s="846"/>
      <c r="R173" s="10"/>
      <c r="S173" s="50" t="s">
        <v>1572</v>
      </c>
      <c r="T173" s="259" t="s">
        <v>1595</v>
      </c>
      <c r="U173" s="259" t="s">
        <v>1596</v>
      </c>
      <c r="V173" s="925" t="s">
        <v>1083</v>
      </c>
      <c r="W173" s="925"/>
      <c r="Y173" s="18">
        <f>IF(OR(O169&gt;0,O170&gt;0,E175&gt;0,E177&gt;0),1,0)</f>
        <v>0</v>
      </c>
      <c r="Z173" s="641">
        <f>IF(AND(OR(O169&gt;0,O170&gt;0),OR(E174&gt;0,E176&gt;0),C179&gt;0),C179*O178,O178)</f>
        <v>0</v>
      </c>
      <c r="AA173" s="639">
        <f>IF(AND(Y173=0,C179&gt;0),C179*AB178,AB178)</f>
        <v>0</v>
      </c>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3">
      <c r="B174" s="297" t="s">
        <v>1334</v>
      </c>
      <c r="C174" s="1018"/>
      <c r="D174" s="1018"/>
      <c r="E174" s="1202">
        <f>LETable!AT30</f>
        <v>0</v>
      </c>
      <c r="F174" s="1202"/>
      <c r="G174" s="708"/>
      <c r="H174" s="708"/>
      <c r="I174" s="708"/>
      <c r="J174" s="1206">
        <f>IF(C174="",0,IF(OR(C174&lt;=0,G174&lt;=0),E174,IF(G174&lt;C174,0,LETable!AY30)))</f>
        <v>0</v>
      </c>
      <c r="K174" s="1206"/>
      <c r="L174" s="1256" t="str">
        <f>IF(OR(C174="NA",G174="NA"),"",IF(AND(C174&lt;&gt;"",G174=""),"Enter contralateral or NA.",IF(AND(C174="",G174&lt;&gt;""),"Need data","")))</f>
        <v/>
      </c>
      <c r="M174" s="1256"/>
      <c r="N174" s="1256"/>
      <c r="O174" s="1257"/>
      <c r="P174" s="846"/>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3">
      <c r="B175" s="297" t="s">
        <v>1335</v>
      </c>
      <c r="C175" s="1268"/>
      <c r="D175" s="1268"/>
      <c r="E175" s="1202">
        <f>IF(AND(C175&lt;&gt;"",C175&lt;&gt;"NA",C174&lt;&gt;"NA",C174&lt;&gt;""),"ERROR",IF(AND(C175&lt;&gt;"",C175&lt;&gt;"NA",C176&lt;&gt;"",C176&lt;&gt;"NA"),"ERROR",LETable!AT31))</f>
        <v>0</v>
      </c>
      <c r="F175" s="1202"/>
      <c r="G175" s="946" t="str">
        <f>IF(E175="ERROR","Error: Cannot rate ROM and ankylosis.","")</f>
        <v/>
      </c>
      <c r="H175" s="946"/>
      <c r="I175" s="946"/>
      <c r="J175" s="946"/>
      <c r="K175" s="946"/>
      <c r="L175" s="946"/>
      <c r="M175" s="946"/>
      <c r="N175" s="946"/>
      <c r="O175" s="1073"/>
      <c r="P175" s="846"/>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3">
      <c r="B176" s="128" t="s">
        <v>1255</v>
      </c>
      <c r="C176" s="1268"/>
      <c r="D176" s="1268"/>
      <c r="E176" s="1202">
        <f>LETable!AT32</f>
        <v>0</v>
      </c>
      <c r="F176" s="1202"/>
      <c r="G176" s="708"/>
      <c r="H176" s="708"/>
      <c r="I176" s="708"/>
      <c r="J176" s="1206">
        <f>IF(C176="",0,IF(OR(C176&lt;=0,G176&lt;=0),E176,IF(G176&lt;C176,0,LETable!AY32)))</f>
        <v>0</v>
      </c>
      <c r="K176" s="1206"/>
      <c r="L176" s="1256" t="str">
        <f>IF(OR(C176="NA",G176="NA"),"",IF(AND(C176&lt;&gt;"",G176=""),"Enter contralateral or NA.",IF(AND(C176="",G176&lt;&gt;""),"Need data","")))</f>
        <v/>
      </c>
      <c r="M176" s="1256"/>
      <c r="N176" s="1256"/>
      <c r="O176" s="1257"/>
      <c r="P176" s="846"/>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3">
      <c r="B177" s="296" t="s">
        <v>1839</v>
      </c>
      <c r="C177" s="1260"/>
      <c r="D177" s="1261"/>
      <c r="E177" s="1202">
        <f>IF(AND(C177&lt;&gt;"",C177&lt;&gt;"NA",C176&lt;&gt;"NA",C176&lt;&gt;""),"ERROR",IF(AND(C177&lt;&gt;"",C177&lt;&gt;"NA",C174&lt;&gt;"",C174&lt;&gt;"NA"),"ERROR",LETable!AT33))</f>
        <v>0</v>
      </c>
      <c r="F177" s="1202"/>
      <c r="G177" s="1203" t="str">
        <f>IF(E177="ERROR","Error: Cannot rate ROM and ankylosis.",IF(AND(C175&lt;&gt;"",C175&lt;&gt;"NA",C177&lt;&gt;"",C177&lt;&gt;"NA"),"Multiple ankylosis values; use higher value only.",""))</f>
        <v/>
      </c>
      <c r="H177" s="1204"/>
      <c r="I177" s="1204"/>
      <c r="J177" s="1204"/>
      <c r="K177" s="1204"/>
      <c r="L177" s="1204"/>
      <c r="M177" s="1204"/>
      <c r="N177" s="1204"/>
      <c r="O177" s="1205"/>
      <c r="P177" s="846"/>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3">
      <c r="B178" s="636"/>
      <c r="C178" s="637"/>
      <c r="D178" s="637"/>
      <c r="E178" s="998" t="str">
        <f>IF(AND(OR(O169&gt;0,O170&gt;0,E175&gt;0,E177&gt;0),C179&gt;0),"Note: Ankylosis impairment is not apportioned.","")</f>
        <v/>
      </c>
      <c r="F178" s="999"/>
      <c r="G178" s="999"/>
      <c r="H178" s="999"/>
      <c r="I178" s="999"/>
      <c r="J178" s="1000"/>
      <c r="K178" s="1099" t="s">
        <v>1841</v>
      </c>
      <c r="L178" s="1100"/>
      <c r="M178" s="1100"/>
      <c r="N178" s="1101"/>
      <c r="O178" s="59">
        <f>IF(OR(E175="ERROR",E177="ERROR"),"ERROR",IF(R178&gt;1,1,R178))</f>
        <v>0</v>
      </c>
      <c r="P178" s="847"/>
      <c r="R178" s="194">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3">
      <c r="B179" s="13" t="s">
        <v>2255</v>
      </c>
      <c r="C179" s="935"/>
      <c r="D179" s="960"/>
      <c r="E179" s="975"/>
      <c r="F179" s="976"/>
      <c r="G179" s="976"/>
      <c r="H179" s="976"/>
      <c r="I179" s="976"/>
      <c r="J179" s="977"/>
      <c r="K179" s="1099" t="s">
        <v>1866</v>
      </c>
      <c r="L179" s="1100"/>
      <c r="M179" s="1100"/>
      <c r="N179" s="1100"/>
      <c r="O179" s="1101"/>
      <c r="P179" s="248">
        <f>IF(O178="ERROR","ERROR",IF(AND(AA173&gt;0,AA173&lt;0.01),0.01,ROUND(AA173,2)))</f>
        <v>0</v>
      </c>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3">
      <c r="B180" s="1211"/>
      <c r="C180" s="1211"/>
      <c r="D180" s="1211"/>
      <c r="E180" s="1211"/>
      <c r="F180" s="1211"/>
      <c r="G180" s="1211"/>
      <c r="H180" s="1211"/>
      <c r="I180" s="1211"/>
      <c r="J180" s="1211"/>
      <c r="K180" s="1211"/>
      <c r="L180" s="1211"/>
      <c r="M180" s="1211"/>
      <c r="N180" s="1211"/>
      <c r="O180" s="1211"/>
      <c r="P180" s="384"/>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3">
      <c r="B181" s="940" t="s">
        <v>2008</v>
      </c>
      <c r="C181" s="941"/>
      <c r="D181" s="941"/>
      <c r="E181" s="941"/>
      <c r="F181" s="941"/>
      <c r="G181" s="941"/>
      <c r="H181" s="941"/>
      <c r="I181" s="941"/>
      <c r="J181" s="941"/>
      <c r="K181" s="941"/>
      <c r="L181" s="941"/>
      <c r="M181" s="941"/>
      <c r="N181" s="941"/>
      <c r="O181" s="941"/>
      <c r="P181" s="38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3">
      <c r="B182" s="308" t="s">
        <v>2011</v>
      </c>
      <c r="C182" s="933"/>
      <c r="D182" s="933"/>
      <c r="E182" s="933"/>
      <c r="F182" s="933"/>
      <c r="G182" s="933"/>
      <c r="H182" s="933"/>
      <c r="I182" s="933"/>
      <c r="J182" s="933"/>
      <c r="K182" s="933"/>
      <c r="L182" s="933"/>
      <c r="M182" s="933"/>
      <c r="N182" s="933"/>
      <c r="O182" s="71"/>
      <c r="P182" s="21">
        <f>IF($W$240&gt;0,0,R182)</f>
        <v>0</v>
      </c>
      <c r="R182" s="147">
        <f>IF(C182=S182,0,IF(C182=T182,0.05,IF(C182=U182,0.1,0)))</f>
        <v>0</v>
      </c>
      <c r="S182" s="50" t="s">
        <v>1941</v>
      </c>
      <c r="T182" s="50" t="s">
        <v>1784</v>
      </c>
      <c r="U182" s="50" t="s">
        <v>1785</v>
      </c>
      <c r="V182" s="97"/>
      <c r="W182" s="96"/>
      <c r="X182" s="133"/>
      <c r="Y182" s="1262"/>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3">
      <c r="B183" s="308" t="s">
        <v>2012</v>
      </c>
      <c r="C183" s="933"/>
      <c r="D183" s="933"/>
      <c r="E183" s="933"/>
      <c r="F183" s="933"/>
      <c r="G183" s="933"/>
      <c r="H183" s="933"/>
      <c r="I183" s="933"/>
      <c r="J183" s="933"/>
      <c r="K183" s="933"/>
      <c r="L183" s="933"/>
      <c r="M183" s="933"/>
      <c r="N183" s="933"/>
      <c r="O183" s="71"/>
      <c r="P183" s="21">
        <f>IF($W$240&gt;0,0,R183)</f>
        <v>0</v>
      </c>
      <c r="R183" s="147">
        <f>IF(C183=S183,0,IF(C183=T183,0.05,IF(C183=U183,0.1,0)))</f>
        <v>0</v>
      </c>
      <c r="S183" s="50" t="s">
        <v>1941</v>
      </c>
      <c r="T183" s="50" t="s">
        <v>1996</v>
      </c>
      <c r="U183" s="50" t="s">
        <v>1997</v>
      </c>
      <c r="V183" s="97"/>
      <c r="W183" s="96"/>
      <c r="X183" s="133"/>
      <c r="Y183" s="1262"/>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3">
      <c r="B184" s="1056" t="str">
        <f>IF(AND(OR(R182&gt;0,R183&gt;0),$W$239&gt;0),"A value has been given for loss of sensation or hypersensitivity in the foot. No additional value is allowed for the toes.","")</f>
        <v/>
      </c>
      <c r="C184" s="1056"/>
      <c r="D184" s="1056"/>
      <c r="E184" s="1056"/>
      <c r="F184" s="1056"/>
      <c r="G184" s="1056"/>
      <c r="H184" s="1056"/>
      <c r="I184" s="1056"/>
      <c r="J184" s="1056"/>
      <c r="K184" s="1056"/>
      <c r="L184" s="1056"/>
      <c r="M184" s="1056"/>
      <c r="N184" s="1056"/>
      <c r="O184" s="1056"/>
      <c r="P184" s="529"/>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3">
      <c r="A185" s="2"/>
      <c r="B185" s="712"/>
      <c r="C185" s="792"/>
      <c r="D185" s="792"/>
      <c r="E185" s="792"/>
      <c r="F185" s="792"/>
      <c r="G185" s="792"/>
      <c r="H185" s="792"/>
      <c r="I185" s="792"/>
      <c r="J185" s="792"/>
      <c r="K185" s="792"/>
      <c r="L185" s="792"/>
      <c r="M185" s="792"/>
      <c r="N185" s="792"/>
      <c r="O185" s="792"/>
      <c r="P185" s="63"/>
      <c r="Q185" s="2"/>
      <c r="R185" s="10"/>
      <c r="S185" s="10"/>
      <c r="Y185" s="10"/>
      <c r="Z185" s="739"/>
      <c r="AA185" s="739"/>
      <c r="AB185" s="739"/>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3">
      <c r="A186" s="2"/>
      <c r="B186" s="776" t="s">
        <v>2015</v>
      </c>
      <c r="C186" s="776"/>
      <c r="D186" s="776"/>
      <c r="E186" s="776"/>
      <c r="F186" s="776"/>
      <c r="G186" s="776"/>
      <c r="H186" s="776"/>
      <c r="I186" s="776"/>
      <c r="J186" s="776"/>
      <c r="K186" s="776"/>
      <c r="L186" s="776"/>
      <c r="M186" s="776"/>
      <c r="N186" s="708"/>
      <c r="O186" s="708"/>
      <c r="P186" s="21">
        <f>IF(N186=T186,0.03,IF(N186=U186,0.15,IF(N186=V186,0.38,IF(N186=W186,0.68,IF(N186=X186,0.9,0)))))</f>
        <v>0</v>
      </c>
      <c r="Q186" s="2"/>
      <c r="R186" s="878" t="s">
        <v>2196</v>
      </c>
      <c r="S186" s="878"/>
      <c r="T186" s="50" t="s">
        <v>1968</v>
      </c>
      <c r="U186" s="50" t="s">
        <v>1969</v>
      </c>
      <c r="V186" s="147" t="s">
        <v>1971</v>
      </c>
      <c r="W186" s="50" t="s">
        <v>945</v>
      </c>
      <c r="X186" s="147" t="s">
        <v>558</v>
      </c>
      <c r="Y186" s="10"/>
      <c r="Z186" s="739"/>
      <c r="AA186" s="739"/>
      <c r="AB186" s="739"/>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3">
      <c r="B187" s="527"/>
      <c r="C187" s="527"/>
      <c r="D187" s="527"/>
      <c r="E187" s="527"/>
      <c r="F187" s="527"/>
      <c r="G187" s="527"/>
      <c r="H187" s="527"/>
      <c r="I187" s="527"/>
      <c r="J187" s="527"/>
      <c r="K187" s="527"/>
      <c r="L187" s="527"/>
      <c r="M187" s="527"/>
      <c r="N187" s="527"/>
      <c r="O187" s="527"/>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3">
      <c r="A188" s="15"/>
      <c r="B188" s="259" t="s">
        <v>1708</v>
      </c>
      <c r="C188" s="1083"/>
      <c r="D188" s="1022"/>
      <c r="E188" s="757" t="s">
        <v>1709</v>
      </c>
      <c r="F188" s="758"/>
      <c r="G188" s="758"/>
      <c r="H188" s="758"/>
      <c r="I188" s="758"/>
      <c r="J188" s="758"/>
      <c r="K188" s="758"/>
      <c r="L188" s="758"/>
      <c r="M188" s="758"/>
      <c r="N188" s="758"/>
      <c r="O188" s="759"/>
      <c r="P188" s="248">
        <f>IF(T188=1,0.15,0)</f>
        <v>0</v>
      </c>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3">
      <c r="B189" s="259" t="s">
        <v>1710</v>
      </c>
      <c r="C189" s="1083"/>
      <c r="D189" s="1022"/>
      <c r="E189" s="757" t="s">
        <v>1711</v>
      </c>
      <c r="F189" s="758"/>
      <c r="G189" s="758"/>
      <c r="H189" s="758"/>
      <c r="I189" s="758"/>
      <c r="J189" s="758"/>
      <c r="K189" s="758"/>
      <c r="L189" s="758"/>
      <c r="M189" s="758"/>
      <c r="N189" s="758"/>
      <c r="O189" s="759"/>
      <c r="P189" s="248">
        <f>IF(T189=1,0.25,0)</f>
        <v>0</v>
      </c>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3">
      <c r="B190" s="386" t="s">
        <v>626</v>
      </c>
      <c r="C190" s="1025"/>
      <c r="D190" s="1025"/>
      <c r="E190" s="937" t="s">
        <v>627</v>
      </c>
      <c r="F190" s="938"/>
      <c r="G190" s="938"/>
      <c r="H190" s="938"/>
      <c r="I190" s="938"/>
      <c r="J190" s="938"/>
      <c r="K190" s="938"/>
      <c r="L190" s="938"/>
      <c r="M190" s="938"/>
      <c r="N190" s="938"/>
      <c r="O190" s="939"/>
      <c r="P190" s="278">
        <f>IF(T190=1,0.25,0)</f>
        <v>0</v>
      </c>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3">
      <c r="B191" s="1212"/>
      <c r="C191" s="1212"/>
      <c r="D191" s="1212"/>
      <c r="E191" s="1212"/>
      <c r="F191" s="1212"/>
      <c r="G191" s="1212"/>
      <c r="H191" s="1212"/>
      <c r="I191" s="1212"/>
      <c r="J191" s="1212"/>
      <c r="K191" s="1212"/>
      <c r="L191" s="1212"/>
      <c r="M191" s="1212"/>
      <c r="N191" s="1212"/>
      <c r="O191" s="1212"/>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3">
      <c r="B192" s="879" t="s">
        <v>919</v>
      </c>
      <c r="C192" s="880"/>
      <c r="D192" s="880"/>
      <c r="E192" s="880"/>
      <c r="F192" s="880"/>
      <c r="G192" s="927" t="s">
        <v>1524</v>
      </c>
      <c r="H192" s="925"/>
      <c r="I192" s="925"/>
      <c r="J192" s="925"/>
      <c r="K192" s="925"/>
      <c r="L192" s="1367"/>
      <c r="M192" s="1368"/>
      <c r="N192" s="1368"/>
      <c r="O192" s="1369"/>
      <c r="P192" s="872">
        <f>V199</f>
        <v>0</v>
      </c>
      <c r="R192" s="10"/>
      <c r="S192" s="50" t="s">
        <v>1864</v>
      </c>
      <c r="T192" s="50" t="s">
        <v>1304</v>
      </c>
      <c r="U192" s="50" t="s">
        <v>1305</v>
      </c>
      <c r="V192" s="50" t="s">
        <v>1306</v>
      </c>
      <c r="W192" s="6"/>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3">
      <c r="B193" s="791" t="s">
        <v>628</v>
      </c>
      <c r="C193" s="791"/>
      <c r="D193" s="791"/>
      <c r="E193" s="996">
        <f>P166</f>
        <v>0</v>
      </c>
      <c r="F193" s="997"/>
      <c r="G193" s="925" t="s">
        <v>1941</v>
      </c>
      <c r="H193" s="925"/>
      <c r="I193" s="925"/>
      <c r="J193" s="1214"/>
      <c r="K193" s="1214"/>
      <c r="L193" s="1003"/>
      <c r="M193" s="1004"/>
      <c r="N193" s="1004"/>
      <c r="O193" s="1005"/>
      <c r="P193" s="1010"/>
      <c r="R193" s="10"/>
      <c r="S193" s="557">
        <f>E193</f>
        <v>0</v>
      </c>
      <c r="T193" s="147">
        <f>LARGE($S$193:$S$200,1)</f>
        <v>0</v>
      </c>
      <c r="U193" s="553">
        <f>T193+T194*(1-T193)</f>
        <v>0</v>
      </c>
      <c r="V193" s="557">
        <f t="shared" ref="V193:V199" si="11">ROUND(U193,2)</f>
        <v>0</v>
      </c>
      <c r="W193" s="6"/>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3">
      <c r="B194" s="806" t="s">
        <v>1958</v>
      </c>
      <c r="C194" s="806"/>
      <c r="D194" s="806"/>
      <c r="E194" s="770">
        <f>IF(P427&gt;0,0,P179)</f>
        <v>0</v>
      </c>
      <c r="F194" s="746"/>
      <c r="G194" s="1115" t="s">
        <v>2256</v>
      </c>
      <c r="H194" s="1177"/>
      <c r="I194" s="1116"/>
      <c r="J194" s="925"/>
      <c r="K194" s="925"/>
      <c r="L194" s="1006"/>
      <c r="M194" s="1007"/>
      <c r="N194" s="1007"/>
      <c r="O194" s="1008"/>
      <c r="P194" s="1010"/>
      <c r="R194" s="10"/>
      <c r="S194" s="147">
        <f>IF(J194&gt;0,J194,E194)</f>
        <v>0</v>
      </c>
      <c r="T194" s="147">
        <f>LARGE($S$193:$S$200,2)</f>
        <v>0</v>
      </c>
      <c r="U194" s="553">
        <f t="shared" ref="U194:U199" si="12">V193+T195*(1-V193)</f>
        <v>0</v>
      </c>
      <c r="V194" s="557">
        <f t="shared" si="11"/>
        <v>0</v>
      </c>
      <c r="W194" s="6"/>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3">
      <c r="B195" s="806" t="s">
        <v>2016</v>
      </c>
      <c r="C195" s="806"/>
      <c r="D195" s="806"/>
      <c r="E195" s="770">
        <f>P182</f>
        <v>0</v>
      </c>
      <c r="F195" s="746"/>
      <c r="G195" s="935"/>
      <c r="H195" s="935"/>
      <c r="I195" s="935"/>
      <c r="J195" s="1188">
        <f>IF(AND(W195&lt;0.01,W195&gt;0),0.01,ROUND(W195,2))</f>
        <v>0</v>
      </c>
      <c r="K195" s="1188"/>
      <c r="L195" s="633"/>
      <c r="M195" s="634"/>
      <c r="N195" s="634"/>
      <c r="O195" s="635"/>
      <c r="P195" s="1010"/>
      <c r="R195" s="10"/>
      <c r="S195" s="147">
        <f>IF(J195&gt;0,J195,E195)</f>
        <v>0</v>
      </c>
      <c r="T195" s="147">
        <f>LARGE($S$193:$S$200,3)</f>
        <v>0</v>
      </c>
      <c r="U195" s="553">
        <f t="shared" si="12"/>
        <v>0</v>
      </c>
      <c r="V195" s="557">
        <f t="shared" si="11"/>
        <v>0</v>
      </c>
      <c r="W195" s="603">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3">
      <c r="B196" s="757" t="s">
        <v>1226</v>
      </c>
      <c r="C196" s="758"/>
      <c r="D196" s="759"/>
      <c r="E196" s="770">
        <f>P183</f>
        <v>0</v>
      </c>
      <c r="F196" s="746"/>
      <c r="G196" s="935"/>
      <c r="H196" s="935"/>
      <c r="I196" s="935"/>
      <c r="J196" s="1188">
        <f>IF(AND(W196&lt;0.01,W196&gt;0),0.01,ROUND(W196,2))</f>
        <v>0</v>
      </c>
      <c r="K196" s="1188"/>
      <c r="L196" s="633"/>
      <c r="M196" s="634"/>
      <c r="N196" s="634"/>
      <c r="O196" s="635"/>
      <c r="P196" s="1010"/>
      <c r="R196" s="10"/>
      <c r="S196" s="147">
        <f>IF(J196&gt;0,J196,E196)</f>
        <v>0</v>
      </c>
      <c r="T196" s="147">
        <f>LARGE($S$193:$S$200,4)</f>
        <v>0</v>
      </c>
      <c r="U196" s="553">
        <f t="shared" si="12"/>
        <v>0</v>
      </c>
      <c r="V196" s="557">
        <f t="shared" si="11"/>
        <v>0</v>
      </c>
      <c r="W196" s="603">
        <f t="shared" ref="W196:W197" si="13">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3">
      <c r="B197" s="757" t="s">
        <v>1446</v>
      </c>
      <c r="C197" s="758"/>
      <c r="D197" s="759"/>
      <c r="E197" s="742">
        <f>P186</f>
        <v>0</v>
      </c>
      <c r="F197" s="744"/>
      <c r="G197" s="935"/>
      <c r="H197" s="935"/>
      <c r="I197" s="935"/>
      <c r="J197" s="1188">
        <f>IF(AND(W197&lt;0.01,W197&gt;0),0.01,ROUND(W197,2))</f>
        <v>0</v>
      </c>
      <c r="K197" s="1188"/>
      <c r="L197" s="972" t="str">
        <f>IF(AND(P179&gt;0,$P$427&gt;0),"The worker has motor loss impairment. No additional impairment value is allowed for reduced range of motion in the same extremity.","")</f>
        <v/>
      </c>
      <c r="M197" s="973"/>
      <c r="N197" s="973"/>
      <c r="O197" s="974"/>
      <c r="P197" s="1010"/>
      <c r="R197" s="10"/>
      <c r="S197" s="147">
        <f>IF(J197&gt;0,J197,E197)</f>
        <v>0</v>
      </c>
      <c r="T197" s="147">
        <f>LARGE($S$193:$S$200,5)</f>
        <v>0</v>
      </c>
      <c r="U197" s="553">
        <f t="shared" si="12"/>
        <v>0</v>
      </c>
      <c r="V197" s="557">
        <f t="shared" si="11"/>
        <v>0</v>
      </c>
      <c r="W197" s="603">
        <f t="shared" si="13"/>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3">
      <c r="B198" s="806" t="s">
        <v>1712</v>
      </c>
      <c r="C198" s="806"/>
      <c r="D198" s="806"/>
      <c r="E198" s="770">
        <f>P188</f>
        <v>0</v>
      </c>
      <c r="F198" s="746"/>
      <c r="G198" s="925" t="s">
        <v>1941</v>
      </c>
      <c r="H198" s="925"/>
      <c r="I198" s="925"/>
      <c r="J198" s="925"/>
      <c r="K198" s="925"/>
      <c r="L198" s="972"/>
      <c r="M198" s="973"/>
      <c r="N198" s="973"/>
      <c r="O198" s="974"/>
      <c r="P198" s="1010"/>
      <c r="R198" s="10"/>
      <c r="S198" s="557">
        <f>E198</f>
        <v>0</v>
      </c>
      <c r="T198" s="147">
        <f>LARGE($S$193:$S$200,6)</f>
        <v>0</v>
      </c>
      <c r="U198" s="553">
        <f t="shared" si="12"/>
        <v>0</v>
      </c>
      <c r="V198" s="557">
        <f t="shared" si="11"/>
        <v>0</v>
      </c>
      <c r="W198" s="10"/>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3">
      <c r="B199" s="757" t="s">
        <v>1713</v>
      </c>
      <c r="C199" s="758"/>
      <c r="D199" s="759"/>
      <c r="E199" s="742">
        <f>P189</f>
        <v>0</v>
      </c>
      <c r="F199" s="744"/>
      <c r="G199" s="925" t="s">
        <v>1941</v>
      </c>
      <c r="H199" s="925"/>
      <c r="I199" s="925"/>
      <c r="J199" s="925"/>
      <c r="K199" s="925"/>
      <c r="L199" s="972"/>
      <c r="M199" s="973"/>
      <c r="N199" s="973"/>
      <c r="O199" s="974"/>
      <c r="P199" s="1010"/>
      <c r="R199" s="10"/>
      <c r="S199" s="557">
        <f>E199</f>
        <v>0</v>
      </c>
      <c r="T199" s="147">
        <f>LARGE($S$193:$S$200,7)</f>
        <v>0</v>
      </c>
      <c r="U199" s="553">
        <f t="shared" si="12"/>
        <v>0</v>
      </c>
      <c r="V199" s="557">
        <f t="shared" si="11"/>
        <v>0</v>
      </c>
      <c r="W199" s="10"/>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3">
      <c r="B200" s="804" t="s">
        <v>1128</v>
      </c>
      <c r="C200" s="804"/>
      <c r="D200" s="804"/>
      <c r="E200" s="1015">
        <f>P190</f>
        <v>0</v>
      </c>
      <c r="F200" s="1015"/>
      <c r="G200" s="845" t="s">
        <v>1941</v>
      </c>
      <c r="H200" s="845"/>
      <c r="I200" s="845"/>
      <c r="J200" s="845"/>
      <c r="K200" s="845"/>
      <c r="L200" s="972"/>
      <c r="M200" s="973"/>
      <c r="N200" s="973"/>
      <c r="O200" s="974"/>
      <c r="P200" s="1010"/>
      <c r="R200" s="10"/>
      <c r="S200" s="557">
        <f>E200</f>
        <v>0</v>
      </c>
      <c r="T200" s="147">
        <f>LARGE($S$193:$S$200,8)</f>
        <v>0</v>
      </c>
      <c r="U200" s="96"/>
      <c r="V200" s="129"/>
      <c r="W200" s="6"/>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3">
      <c r="B201" s="959" t="s">
        <v>920</v>
      </c>
      <c r="C201" s="959"/>
      <c r="D201" s="959"/>
      <c r="E201" s="959"/>
      <c r="F201" s="959"/>
      <c r="G201" s="959"/>
      <c r="H201" s="959"/>
      <c r="I201" s="959"/>
      <c r="J201" s="959"/>
      <c r="K201" s="959"/>
      <c r="L201" s="959"/>
      <c r="M201" s="959"/>
      <c r="N201" s="959"/>
      <c r="O201" s="959"/>
      <c r="P201" s="996"/>
      <c r="R201" s="10"/>
      <c r="S201" s="14"/>
      <c r="T201" s="96"/>
      <c r="U201" s="129"/>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5" x14ac:dyDescent="0.35">
      <c r="B202" s="1211"/>
      <c r="C202" s="1211"/>
      <c r="D202" s="1211"/>
      <c r="E202" s="1211"/>
      <c r="F202" s="1211"/>
      <c r="G202" s="1211"/>
      <c r="H202" s="1211"/>
      <c r="I202" s="1211"/>
      <c r="J202" s="1211"/>
      <c r="K202" s="1211"/>
      <c r="L202" s="1211"/>
      <c r="M202" s="1211"/>
      <c r="N202" s="1211"/>
      <c r="O202" s="1211"/>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4">
      <c r="B203" s="1363"/>
      <c r="C203" s="1363"/>
      <c r="D203" s="1363"/>
      <c r="E203" s="1363"/>
      <c r="F203" s="1363"/>
      <c r="G203" s="1363"/>
      <c r="H203" s="1363"/>
      <c r="I203" s="1363"/>
      <c r="J203" s="1363"/>
      <c r="K203" s="1363"/>
      <c r="L203" s="1363"/>
      <c r="M203" s="1363"/>
      <c r="N203" s="1363"/>
      <c r="O203" s="1363"/>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35">
      <c r="B204" s="1360" t="s">
        <v>921</v>
      </c>
      <c r="C204" s="1361"/>
      <c r="D204" s="1361"/>
      <c r="E204" s="1361"/>
      <c r="F204" s="1361"/>
      <c r="G204" s="1361"/>
      <c r="H204" s="1361"/>
      <c r="I204" s="1361"/>
      <c r="J204" s="1361"/>
      <c r="K204" s="1361"/>
      <c r="L204" s="1361"/>
      <c r="M204" s="1361"/>
      <c r="N204" s="1361"/>
      <c r="O204" s="1361"/>
      <c r="P204" s="136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4">
      <c r="B205" s="1371"/>
      <c r="C205" s="1371"/>
      <c r="D205" s="1371"/>
      <c r="E205" s="1371"/>
      <c r="F205" s="1371"/>
      <c r="G205" s="1371"/>
      <c r="H205" s="1371"/>
      <c r="I205" s="1371"/>
      <c r="J205" s="1371"/>
      <c r="K205" s="1371"/>
      <c r="L205" s="1371"/>
      <c r="M205" s="1371"/>
      <c r="N205" s="1371"/>
      <c r="O205" s="1371"/>
      <c r="P205" s="398"/>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3">
      <c r="B206" s="940" t="s">
        <v>922</v>
      </c>
      <c r="C206" s="941"/>
      <c r="D206" s="941"/>
      <c r="E206" s="941"/>
      <c r="F206" s="941"/>
      <c r="G206" s="941"/>
      <c r="H206" s="941"/>
      <c r="I206" s="941"/>
      <c r="J206" s="941"/>
      <c r="K206" s="941"/>
      <c r="L206" s="941"/>
      <c r="M206" s="941"/>
      <c r="N206" s="941"/>
      <c r="O206" s="942"/>
      <c r="P206" s="388"/>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3">
      <c r="A207" s="15"/>
      <c r="B207" s="1293"/>
      <c r="C207" s="1293"/>
      <c r="D207" s="1293"/>
      <c r="E207" s="1293"/>
      <c r="F207" s="1293"/>
      <c r="G207" s="1293"/>
      <c r="H207" s="1293"/>
      <c r="I207" s="1293"/>
      <c r="J207" s="1293"/>
      <c r="K207" s="1293"/>
      <c r="L207" s="1293"/>
      <c r="M207" s="1293"/>
      <c r="N207" s="1293"/>
      <c r="O207" s="1281"/>
      <c r="P207" s="21">
        <f>IF(B207=S207,1,IF(B207=T207,0.75,IF(B207=U207,0.5,0)))</f>
        <v>0</v>
      </c>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3">
      <c r="A208" s="15"/>
      <c r="B208" s="757" t="s">
        <v>1622</v>
      </c>
      <c r="C208" s="758"/>
      <c r="D208" s="758"/>
      <c r="E208" s="759"/>
      <c r="F208" s="1083"/>
      <c r="G208" s="1022"/>
      <c r="H208" s="806" t="s">
        <v>1623</v>
      </c>
      <c r="I208" s="806"/>
      <c r="J208" s="806"/>
      <c r="K208" s="806"/>
      <c r="L208" s="806"/>
      <c r="M208" s="806"/>
      <c r="N208" s="806"/>
      <c r="O208" s="806"/>
      <c r="P208" s="21">
        <f>IF($P$207&gt;0,0,IF(S208=1,0.1,0))</f>
        <v>0</v>
      </c>
      <c r="R208" s="555" t="b">
        <v>0</v>
      </c>
      <c r="S208" s="578">
        <f>IF(R208=TRUE,1,0)</f>
        <v>0</v>
      </c>
      <c r="T208" s="10"/>
      <c r="U208" s="10"/>
      <c r="V208" s="10"/>
      <c r="W208" s="10">
        <v>1E-4</v>
      </c>
      <c r="X208" s="10"/>
      <c r="Y208" s="135"/>
      <c r="Z208" s="739"/>
      <c r="AA208" s="739"/>
      <c r="AB208" s="739"/>
      <c r="AC208" s="10"/>
      <c r="AD208" s="10"/>
      <c r="AE208" s="10"/>
      <c r="AF208" s="10"/>
      <c r="AG208" s="10"/>
      <c r="AH208" s="10"/>
      <c r="AI208" s="94"/>
      <c r="AJ208" s="739"/>
      <c r="AK208" s="739"/>
      <c r="AL208" s="739"/>
      <c r="AM208" s="739"/>
      <c r="AN208" s="739"/>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3">
      <c r="B209" s="1248"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49"/>
      <c r="D209" s="1249"/>
      <c r="E209" s="1250"/>
      <c r="F209" s="1083"/>
      <c r="G209" s="1022"/>
      <c r="H209" s="806" t="s">
        <v>351</v>
      </c>
      <c r="I209" s="806"/>
      <c r="J209" s="806"/>
      <c r="K209" s="806"/>
      <c r="L209" s="806"/>
      <c r="M209" s="806"/>
      <c r="N209" s="806"/>
      <c r="O209" s="806"/>
      <c r="P209" s="21">
        <f>IF($P$207&gt;0,0,IF(S209=1,0.1,0))</f>
        <v>0</v>
      </c>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3">
      <c r="B210" s="1248"/>
      <c r="C210" s="1249"/>
      <c r="D210" s="1249"/>
      <c r="E210" s="1250"/>
      <c r="F210" s="1083"/>
      <c r="G210" s="1022"/>
      <c r="H210" s="806" t="s">
        <v>105</v>
      </c>
      <c r="I210" s="806"/>
      <c r="J210" s="806"/>
      <c r="K210" s="806"/>
      <c r="L210" s="806"/>
      <c r="M210" s="806"/>
      <c r="N210" s="806"/>
      <c r="O210" s="806"/>
      <c r="P210" s="21">
        <f>IF($P$207&gt;0,0,IF(S210=1,0.1,0))</f>
        <v>0</v>
      </c>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3">
      <c r="B211" s="1248"/>
      <c r="C211" s="1249"/>
      <c r="D211" s="1249"/>
      <c r="E211" s="1250"/>
      <c r="F211" s="1083"/>
      <c r="G211" s="1022"/>
      <c r="H211" s="806" t="s">
        <v>1265</v>
      </c>
      <c r="I211" s="806"/>
      <c r="J211" s="806"/>
      <c r="K211" s="806"/>
      <c r="L211" s="806"/>
      <c r="M211" s="806"/>
      <c r="N211" s="806"/>
      <c r="O211" s="806"/>
      <c r="P211" s="21">
        <f>IF($P$207&gt;0,0,IF(S211=1,0.1,0))</f>
        <v>0</v>
      </c>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3">
      <c r="B212" s="1251"/>
      <c r="C212" s="1252"/>
      <c r="D212" s="1252"/>
      <c r="E212" s="1253"/>
      <c r="F212" s="1024"/>
      <c r="G212" s="1025"/>
      <c r="H212" s="806" t="s">
        <v>665</v>
      </c>
      <c r="I212" s="806"/>
      <c r="J212" s="806"/>
      <c r="K212" s="806"/>
      <c r="L212" s="806"/>
      <c r="M212" s="806"/>
      <c r="N212" s="806"/>
      <c r="O212" s="806"/>
      <c r="P212" s="295">
        <f>IF($P$207&gt;0,0,IF(S212=1,0.1,0))</f>
        <v>0</v>
      </c>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3">
      <c r="B213" s="1169"/>
      <c r="C213" s="1169"/>
      <c r="D213" s="1169"/>
      <c r="E213" s="1169"/>
      <c r="F213" s="1169"/>
      <c r="G213" s="1169"/>
      <c r="H213" s="1169"/>
      <c r="I213" s="1169"/>
      <c r="J213" s="1169"/>
      <c r="K213" s="1169"/>
      <c r="L213" s="1169"/>
      <c r="M213" s="1169"/>
      <c r="N213" s="1169"/>
      <c r="O213" s="1169"/>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3">
      <c r="B214" s="940" t="s">
        <v>666</v>
      </c>
      <c r="C214" s="941"/>
      <c r="D214" s="941"/>
      <c r="E214" s="941"/>
      <c r="F214" s="941"/>
      <c r="G214" s="941"/>
      <c r="H214" s="941"/>
      <c r="I214" s="941"/>
      <c r="J214" s="941"/>
      <c r="K214" s="941"/>
      <c r="L214" s="941"/>
      <c r="M214" s="941"/>
      <c r="N214" s="941"/>
      <c r="O214" s="941"/>
      <c r="P214" s="30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3">
      <c r="A215" s="15"/>
      <c r="B215" s="1245" t="str">
        <f>IF(AND(P207&gt;0.5,T218=1),"ERROR: Foot/lower leg loss has occurred at or proximal to the tarsometatarsal joints; uncheck boxes at right.","")</f>
        <v/>
      </c>
      <c r="C215" s="1246"/>
      <c r="D215" s="1246"/>
      <c r="E215" s="1247"/>
      <c r="F215" s="1083"/>
      <c r="G215" s="1213"/>
      <c r="H215" s="806" t="s">
        <v>667</v>
      </c>
      <c r="I215" s="806"/>
      <c r="J215" s="806"/>
      <c r="K215" s="806"/>
      <c r="L215" s="806"/>
      <c r="M215" s="806"/>
      <c r="N215" s="806"/>
      <c r="O215" s="806"/>
      <c r="P215" s="21">
        <f>IF($P$207&gt;0.5,0,IF(S215=1,0.1,0))</f>
        <v>0</v>
      </c>
      <c r="R215" s="555" t="b">
        <v>0</v>
      </c>
      <c r="S215" s="578">
        <f>IF(R215=TRUE,1,0)</f>
        <v>0</v>
      </c>
      <c r="T215" s="10"/>
      <c r="U215" s="10"/>
      <c r="V215" s="10"/>
      <c r="W215" s="10">
        <v>1E-4</v>
      </c>
      <c r="X215" s="10"/>
      <c r="Y215" s="135"/>
      <c r="Z215" s="739"/>
      <c r="AA215" s="739"/>
      <c r="AB215" s="739"/>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3">
      <c r="B216" s="1248"/>
      <c r="C216" s="1249"/>
      <c r="D216" s="1249"/>
      <c r="E216" s="1250"/>
      <c r="F216" s="1083"/>
      <c r="G216" s="1213"/>
      <c r="H216" s="806" t="s">
        <v>668</v>
      </c>
      <c r="I216" s="806"/>
      <c r="J216" s="806"/>
      <c r="K216" s="806"/>
      <c r="L216" s="806"/>
      <c r="M216" s="806"/>
      <c r="N216" s="806"/>
      <c r="O216" s="806"/>
      <c r="P216" s="21">
        <f>IF($P$207&gt;0.5,0,IF(S216=1,0.1,0))</f>
        <v>0</v>
      </c>
      <c r="R216" s="555" t="b">
        <v>0</v>
      </c>
      <c r="S216" s="578">
        <f>IF(R216=TRUE,1,0)</f>
        <v>0</v>
      </c>
      <c r="T216" s="50" t="s">
        <v>669</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3">
      <c r="B217" s="1248"/>
      <c r="C217" s="1249"/>
      <c r="D217" s="1249"/>
      <c r="E217" s="1250"/>
      <c r="F217" s="1083"/>
      <c r="G217" s="1213"/>
      <c r="H217" s="806" t="s">
        <v>61</v>
      </c>
      <c r="I217" s="806"/>
      <c r="J217" s="806"/>
      <c r="K217" s="806"/>
      <c r="L217" s="806"/>
      <c r="M217" s="806"/>
      <c r="N217" s="806"/>
      <c r="O217" s="806"/>
      <c r="P217" s="21">
        <f>IF($P$207&gt;0.5,0,IF(S217=1,0.1,0))</f>
        <v>0</v>
      </c>
      <c r="R217" s="555" t="b">
        <v>0</v>
      </c>
      <c r="S217" s="578">
        <f>IF(R217=TRUE,1,0)</f>
        <v>0</v>
      </c>
      <c r="T217" s="50" t="s">
        <v>1069</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3">
      <c r="B218" s="1248"/>
      <c r="C218" s="1249"/>
      <c r="D218" s="1249"/>
      <c r="E218" s="1250"/>
      <c r="F218" s="1083"/>
      <c r="G218" s="1213"/>
      <c r="H218" s="806" t="s">
        <v>428</v>
      </c>
      <c r="I218" s="806"/>
      <c r="J218" s="806"/>
      <c r="K218" s="806"/>
      <c r="L218" s="806"/>
      <c r="M218" s="806"/>
      <c r="N218" s="806"/>
      <c r="O218" s="806"/>
      <c r="P218" s="21">
        <f>IF($P$207&gt;0.5,0,IF(S218=1,0.1,0))</f>
        <v>0</v>
      </c>
      <c r="R218" s="555" t="b">
        <v>0</v>
      </c>
      <c r="S218" s="578">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3">
      <c r="B219" s="1251"/>
      <c r="C219" s="1252"/>
      <c r="D219" s="1252"/>
      <c r="E219" s="1253"/>
      <c r="F219" s="1083"/>
      <c r="G219" s="1213"/>
      <c r="H219" s="806" t="s">
        <v>475</v>
      </c>
      <c r="I219" s="806"/>
      <c r="J219" s="806"/>
      <c r="K219" s="806"/>
      <c r="L219" s="806"/>
      <c r="M219" s="806"/>
      <c r="N219" s="806"/>
      <c r="O219" s="806"/>
      <c r="P219" s="21">
        <f>IF($P$207&gt;0.5,0,IF(S219=1,0.1,0))</f>
        <v>0</v>
      </c>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3">
      <c r="B220" s="925" t="s">
        <v>1594</v>
      </c>
      <c r="C220" s="925"/>
      <c r="D220" s="925"/>
      <c r="E220" s="925"/>
      <c r="F220" s="925"/>
      <c r="G220" s="925"/>
      <c r="H220" s="925"/>
      <c r="I220" s="925"/>
      <c r="J220" s="925"/>
      <c r="K220" s="925"/>
      <c r="L220" s="925"/>
      <c r="M220" s="925"/>
      <c r="N220" s="925"/>
      <c r="O220" s="925"/>
      <c r="P220" s="651"/>
      <c r="S220" s="10"/>
      <c r="T220" s="927" t="s">
        <v>1257</v>
      </c>
      <c r="U220" s="927"/>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3">
      <c r="B221" s="18" t="s">
        <v>476</v>
      </c>
      <c r="C221" s="1166" t="s">
        <v>1595</v>
      </c>
      <c r="D221" s="1161"/>
      <c r="E221" s="1161"/>
      <c r="F221" s="1161"/>
      <c r="G221" s="922" t="s">
        <v>1081</v>
      </c>
      <c r="H221" s="941"/>
      <c r="I221" s="941"/>
      <c r="J221" s="941"/>
      <c r="K221" s="942"/>
      <c r="L221" s="1289"/>
      <c r="M221" s="1290"/>
      <c r="N221" s="1290"/>
      <c r="O221" s="1290"/>
      <c r="P221" s="1235"/>
      <c r="R221" s="259" t="s">
        <v>2260</v>
      </c>
      <c r="S221" s="50" t="s">
        <v>1572</v>
      </c>
      <c r="T221" s="259" t="s">
        <v>1595</v>
      </c>
      <c r="U221" s="259" t="s">
        <v>1596</v>
      </c>
      <c r="V221" s="925" t="s">
        <v>1083</v>
      </c>
      <c r="W221" s="925"/>
      <c r="X221" s="10"/>
      <c r="Y221" s="308" t="s">
        <v>2232</v>
      </c>
      <c r="Z221" s="146" t="s">
        <v>2233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3">
      <c r="B222" s="293" t="s">
        <v>598</v>
      </c>
      <c r="C222" s="708"/>
      <c r="D222" s="708"/>
      <c r="E222" s="948">
        <f>LETable!AT36</f>
        <v>0</v>
      </c>
      <c r="F222" s="948"/>
      <c r="G222" s="1018"/>
      <c r="H222" s="1018"/>
      <c r="I222" s="1018"/>
      <c r="J222" s="1206">
        <f>IF(C222="",0,IF(OR(C222&lt;=0,G222&lt;=0),E222,IF(G222&lt;C222,0,LETable!AY36)))</f>
        <v>0</v>
      </c>
      <c r="K222" s="1206"/>
      <c r="L222" s="1256" t="str">
        <f>IF(OR(C222="NA",G222="NA"),"",IF(AND(C222&lt;&gt;"",G222=""),"Enter contralateral or NA.",IF(AND(C222="",G222&lt;&gt;""),"Need data","")))</f>
        <v/>
      </c>
      <c r="M222" s="1256"/>
      <c r="N222" s="1256"/>
      <c r="O222" s="1257"/>
      <c r="P222" s="1235"/>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3">
      <c r="B223" s="275" t="s">
        <v>485</v>
      </c>
      <c r="C223" s="708"/>
      <c r="D223" s="708"/>
      <c r="E223" s="948">
        <f>IF(AND($Y$222&gt;0,$Z$222&gt;0),"ERROR",LETable!AT37)</f>
        <v>0</v>
      </c>
      <c r="F223" s="948"/>
      <c r="G223" s="1256" t="str">
        <f>IF(AND($Y$222&gt;0,$Z$222&gt;0),"Cannot rate ROM and ankylosis in the foot.","")</f>
        <v/>
      </c>
      <c r="H223" s="1256"/>
      <c r="I223" s="1256"/>
      <c r="J223" s="1256"/>
      <c r="K223" s="1256"/>
      <c r="L223" s="1256"/>
      <c r="M223" s="1256"/>
      <c r="N223" s="1256"/>
      <c r="O223" s="1257"/>
      <c r="P223" s="1235"/>
      <c r="R223" s="588">
        <f>IF(AC223&gt;0,R222,IF(AND(AC229&gt;0,C233&gt;0),C233*R222,R222))</f>
        <v>0</v>
      </c>
      <c r="S223" s="50">
        <v>30</v>
      </c>
      <c r="T223" s="50" t="str">
        <f>IF(OR(C223="",C223="NA"),"",IF(C223&gt;S223,S223,IF(C223&lt;0,0,C223)))</f>
        <v/>
      </c>
      <c r="U223" s="10"/>
      <c r="Y223" s="50">
        <f>IF(AND(C222&lt;&gt;"",C222&lt;&gt;"NA"),1,0)</f>
        <v>0</v>
      </c>
      <c r="Z223" s="50">
        <f>IF(AND(C223&lt;&gt;"",C223&lt;&gt;"NA"),2,0)</f>
        <v>0</v>
      </c>
      <c r="AB223" s="61"/>
      <c r="AC223" s="193">
        <f>MAX(E223,E225)</f>
        <v>0</v>
      </c>
      <c r="AD223" s="806" t="s">
        <v>1942</v>
      </c>
      <c r="AE223" s="806"/>
      <c r="AF223" s="806"/>
      <c r="AG223" s="806"/>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3">
      <c r="B224" s="275" t="s">
        <v>486</v>
      </c>
      <c r="C224" s="708"/>
      <c r="D224" s="708"/>
      <c r="E224" s="948">
        <f>LETable!AT38</f>
        <v>0</v>
      </c>
      <c r="F224" s="948"/>
      <c r="G224" s="1018"/>
      <c r="H224" s="1018"/>
      <c r="I224" s="1018"/>
      <c r="J224" s="1206">
        <f>IF(C224="",0,IF(OR(C224&lt;=0,G224&lt;=0),E224,IF(G224&lt;C224,0,LETable!AY38)))</f>
        <v>0</v>
      </c>
      <c r="K224" s="1206"/>
      <c r="L224" s="1256" t="str">
        <f>IF(OR(C224="NA",G224="NA"),"",IF(AND(C224&lt;&gt;"",G224=""),"Enter contralateral or NA.",IF(AND(C224="",G224&lt;&gt;""),"Need data","")))</f>
        <v/>
      </c>
      <c r="M224" s="1256"/>
      <c r="N224" s="1256"/>
      <c r="O224" s="1257"/>
      <c r="P224" s="1235"/>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2:228" ht="15" customHeight="1" x14ac:dyDescent="0.3">
      <c r="B225" s="275" t="s">
        <v>487</v>
      </c>
      <c r="C225" s="708"/>
      <c r="D225" s="708"/>
      <c r="E225" s="948">
        <f>IF(AND($Y$222&gt;0,$Z$222&gt;0),"ERROR",LETable!AT39)</f>
        <v>0</v>
      </c>
      <c r="F225" s="948"/>
      <c r="G225" s="1203" t="str">
        <f>IF(AND($Y$222&gt;0,$Z$222&gt;0),"Cannot rate ROM and ankylosis in the foot.",IF(AND(C223&lt;&gt;"",C223&lt;&gt;"NA",C225&lt;&gt;"",C225&lt;&gt;"NA"),"Multiple ankylosis values; use higher value only.",""))</f>
        <v/>
      </c>
      <c r="H225" s="1204"/>
      <c r="I225" s="1204"/>
      <c r="J225" s="1204"/>
      <c r="K225" s="1204"/>
      <c r="L225" s="1204"/>
      <c r="M225" s="1204"/>
      <c r="N225" s="1204"/>
      <c r="O225" s="1205"/>
      <c r="P225" s="1235"/>
      <c r="R225" s="10"/>
      <c r="S225" s="50">
        <v>20</v>
      </c>
      <c r="T225" s="50" t="str">
        <f>IF(OR(C225="",C225="NA"),"",IF(C225&gt;S225,S225,IF(C225&lt;0,0,C225)))</f>
        <v/>
      </c>
      <c r="U225" s="10"/>
      <c r="V225" s="10"/>
      <c r="W225" s="10"/>
      <c r="X225" s="10"/>
      <c r="Y225" s="10"/>
      <c r="Z225" s="10"/>
      <c r="AA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2:228" ht="18" customHeight="1" x14ac:dyDescent="0.3">
      <c r="B226" s="1285" t="s">
        <v>2262</v>
      </c>
      <c r="C226" s="1286"/>
      <c r="D226" s="1286"/>
      <c r="E226" s="1286"/>
      <c r="F226" s="1286"/>
      <c r="G226" s="1286"/>
      <c r="H226" s="1286"/>
      <c r="I226" s="1286"/>
      <c r="J226" s="1286"/>
      <c r="K226" s="1286"/>
      <c r="L226" s="1286"/>
      <c r="M226" s="1286"/>
      <c r="N226" s="1287"/>
      <c r="O226" s="284">
        <f>R223</f>
        <v>0</v>
      </c>
      <c r="P226" s="1235"/>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2:228" ht="26.25" customHeight="1" x14ac:dyDescent="0.3">
      <c r="B227" s="389" t="s">
        <v>488</v>
      </c>
      <c r="C227" s="1166" t="s">
        <v>1595</v>
      </c>
      <c r="D227" s="1161"/>
      <c r="E227" s="1161"/>
      <c r="F227" s="1161"/>
      <c r="G227" s="922" t="s">
        <v>1081</v>
      </c>
      <c r="H227" s="941"/>
      <c r="I227" s="941"/>
      <c r="J227" s="941"/>
      <c r="K227" s="942"/>
      <c r="L227" s="940"/>
      <c r="M227" s="941"/>
      <c r="N227" s="941"/>
      <c r="O227" s="942"/>
      <c r="P227" s="1235"/>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2:228" ht="15" customHeight="1" x14ac:dyDescent="0.3">
      <c r="B228" s="128" t="s">
        <v>1334</v>
      </c>
      <c r="C228" s="708"/>
      <c r="D228" s="708"/>
      <c r="E228" s="948">
        <f>LETable!AT42</f>
        <v>0</v>
      </c>
      <c r="F228" s="948"/>
      <c r="G228" s="1018"/>
      <c r="H228" s="1018"/>
      <c r="I228" s="1018"/>
      <c r="J228" s="1206">
        <f>IF(C228="",0,IF(OR(C228&lt;=0,G228&lt;=0),E228,IF(G228&lt;C228,0,LETable!AY42)))</f>
        <v>0</v>
      </c>
      <c r="K228" s="1206"/>
      <c r="L228" s="1256" t="str">
        <f>IF(OR(C228="NA",G228="NA"),"",IF(AND(C228&lt;&gt;"",G228=""),"Enter contralateral or NA.",IF(AND(C228="",G228&lt;&gt;""),"Need data","")))</f>
        <v/>
      </c>
      <c r="M228" s="1256"/>
      <c r="N228" s="1256"/>
      <c r="O228" s="1257"/>
      <c r="P228" s="1235"/>
      <c r="R228" s="194">
        <f>IF(AC229&gt;0,R227,IF(AND(AC223&gt;0,C233&gt;0),C233*R227,R227))</f>
        <v>0</v>
      </c>
      <c r="S228" s="50">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2:228" ht="15" customHeight="1" x14ac:dyDescent="0.3">
      <c r="B229" s="128" t="s">
        <v>1335</v>
      </c>
      <c r="C229" s="708"/>
      <c r="D229" s="708"/>
      <c r="E229" s="948">
        <f>IF(AND($Y$228&gt;0,$Z$228&gt;0),"ERROR",LETable!AT43)</f>
        <v>0</v>
      </c>
      <c r="F229" s="948"/>
      <c r="G229" s="1256" t="str">
        <f>IF(AND($Y$228&gt;0,$Z$228&gt;0),"Cannot rate ROM and ankylosis in the ankle.","")</f>
        <v/>
      </c>
      <c r="H229" s="1256"/>
      <c r="I229" s="1256"/>
      <c r="J229" s="1256"/>
      <c r="K229" s="1256"/>
      <c r="L229" s="1256"/>
      <c r="M229" s="1256"/>
      <c r="N229" s="1256"/>
      <c r="O229" s="1257"/>
      <c r="P229" s="1235"/>
      <c r="R229" s="193">
        <f>IF(OR(AC223&gt;0,AC229&gt;0),R223+R228,IF(C233&gt;0,C233*(R223+R228),R223+R228))</f>
        <v>0</v>
      </c>
      <c r="S229" s="50">
        <v>20</v>
      </c>
      <c r="T229" s="50" t="str">
        <f>IF(OR(C229="",C229="NA"),"",IF(C229&gt;S229,S229,IF(C229&lt;0,0,C229)))</f>
        <v/>
      </c>
      <c r="U229" s="10"/>
      <c r="Y229" s="50">
        <f>IF(AND(C228&lt;&gt;"",C228&lt;&gt;"NA"),1,0)</f>
        <v>0</v>
      </c>
      <c r="Z229" s="50">
        <f>IF(AND(C229&lt;&gt;"",C229&lt;&gt;"NA"),2,0)</f>
        <v>0</v>
      </c>
      <c r="AB229" s="10"/>
      <c r="AC229" s="193">
        <f>MAX(E229,E231)</f>
        <v>0</v>
      </c>
      <c r="AD229" s="806" t="s">
        <v>1942</v>
      </c>
      <c r="AE229" s="806"/>
      <c r="AF229" s="806"/>
      <c r="AG229" s="806"/>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2:228" ht="15" customHeight="1" x14ac:dyDescent="0.3">
      <c r="B230" s="296" t="s">
        <v>1255</v>
      </c>
      <c r="C230" s="708"/>
      <c r="D230" s="708"/>
      <c r="E230" s="948">
        <f>LETable!AT44</f>
        <v>0</v>
      </c>
      <c r="F230" s="948"/>
      <c r="G230" s="1260"/>
      <c r="H230" s="1269"/>
      <c r="I230" s="1261"/>
      <c r="J230" s="1206">
        <f>IF(C230="",0,IF(OR(C230&lt;=0,G230&lt;=0),E230,IF(G230&lt;C230,0,LETable!AY44)))</f>
        <v>0</v>
      </c>
      <c r="K230" s="1206"/>
      <c r="L230" s="1256" t="str">
        <f>IF(OR(C230="NA",G230="NA"),"",IF(AND(C230&lt;&gt;"",G230=""),"Enter contralateral or NA.",IF(AND(C230="",G230&lt;&gt;""),"Need data","")))</f>
        <v/>
      </c>
      <c r="M230" s="1256"/>
      <c r="N230" s="1256"/>
      <c r="O230" s="1257"/>
      <c r="P230" s="1235"/>
      <c r="R230" s="50" t="s">
        <v>696</v>
      </c>
      <c r="S230" s="50">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2:228" ht="15" customHeight="1" x14ac:dyDescent="0.3">
      <c r="B231" s="128" t="s">
        <v>1839</v>
      </c>
      <c r="C231" s="708"/>
      <c r="D231" s="708"/>
      <c r="E231" s="948">
        <f>IF(AND($Y$228&gt;0,$Z$228&gt;0),"ERROR",LETable!AT45)</f>
        <v>0</v>
      </c>
      <c r="F231" s="948"/>
      <c r="G231" s="1203" t="str">
        <f>IF(AND($Y$228&gt;0,$Z$228&gt;0),"Cannot rate ROM and ankylosis in the ankle.",IF(AND(C229&lt;&gt;"",C229&lt;&gt;"NA",C231&lt;&gt;"",C231&lt;&gt;"NA"),"Multiple ankylosis values; use higher value only.",""))</f>
        <v/>
      </c>
      <c r="H231" s="1204"/>
      <c r="I231" s="1204"/>
      <c r="J231" s="1204"/>
      <c r="K231" s="1204"/>
      <c r="L231" s="1204"/>
      <c r="M231" s="1204"/>
      <c r="N231" s="1204"/>
      <c r="O231" s="1205"/>
      <c r="P231" s="1235"/>
      <c r="R231" s="50" t="s">
        <v>698</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2:228" ht="18" customHeight="1" x14ac:dyDescent="0.3">
      <c r="B232" s="1343" t="s">
        <v>2255</v>
      </c>
      <c r="C232" s="654"/>
      <c r="D232" s="654"/>
      <c r="E232" s="1138" t="str">
        <f>IF(AND(OR(E223&gt;0,E225&gt;0,E229&gt;0,E231&gt;0),C233&gt;0),"Ankylosis cannot be apportioned.","")</f>
        <v/>
      </c>
      <c r="F232" s="1138"/>
      <c r="G232" s="1138"/>
      <c r="H232" s="1138"/>
      <c r="I232" s="1138"/>
      <c r="J232" s="1138"/>
      <c r="K232" s="1138"/>
      <c r="L232" s="654"/>
      <c r="M232" s="654"/>
      <c r="N232" s="654"/>
      <c r="O232" s="655"/>
      <c r="P232" s="1235"/>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2:228" ht="18" customHeight="1" x14ac:dyDescent="0.3">
      <c r="B233" s="1344"/>
      <c r="C233" s="935"/>
      <c r="D233" s="935"/>
      <c r="E233" s="1138"/>
      <c r="F233" s="1138"/>
      <c r="G233" s="1138"/>
      <c r="H233" s="1138"/>
      <c r="I233" s="1138"/>
      <c r="J233" s="1138"/>
      <c r="K233" s="1138"/>
      <c r="L233" s="1286" t="s">
        <v>2262</v>
      </c>
      <c r="M233" s="1286"/>
      <c r="N233" s="1287"/>
      <c r="O233" s="284">
        <f>R228</f>
        <v>0</v>
      </c>
      <c r="P233" s="1235"/>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2:228" ht="21.75" customHeight="1" x14ac:dyDescent="0.3">
      <c r="B234" s="927"/>
      <c r="C234" s="927"/>
      <c r="D234" s="927"/>
      <c r="E234" s="927"/>
      <c r="F234" s="927"/>
      <c r="G234" s="927"/>
      <c r="H234" s="927"/>
      <c r="I234" s="927"/>
      <c r="J234" s="927"/>
      <c r="K234" s="927"/>
      <c r="L234" s="1100" t="s">
        <v>1028</v>
      </c>
      <c r="M234" s="1100"/>
      <c r="N234" s="1100"/>
      <c r="O234" s="1101"/>
      <c r="P234" s="248">
        <f>IF(R232=1,"ERROR",IF(AND(R229&gt;0,R229&lt;0.01),0.01,IF(R229&gt;1,1,ROUND(R229,2))))</f>
        <v>0</v>
      </c>
      <c r="R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2:228" ht="15" customHeight="1" x14ac:dyDescent="0.35">
      <c r="B235" s="1211"/>
      <c r="C235" s="1211"/>
      <c r="D235" s="1211"/>
      <c r="E235" s="1211"/>
      <c r="F235" s="1211"/>
      <c r="G235" s="1211"/>
      <c r="H235" s="1211"/>
      <c r="I235" s="1211"/>
      <c r="J235" s="1211"/>
      <c r="K235" s="1211"/>
      <c r="L235" s="1211"/>
      <c r="M235" s="1211"/>
      <c r="N235" s="1211"/>
      <c r="O235" s="1211"/>
      <c r="P235" s="29"/>
      <c r="R235" s="132"/>
      <c r="S235" s="136"/>
      <c r="T235" s="129"/>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2:228" ht="21" customHeight="1" x14ac:dyDescent="0.3">
      <c r="B236" s="940" t="s">
        <v>2009</v>
      </c>
      <c r="C236" s="941"/>
      <c r="D236" s="941"/>
      <c r="E236" s="941"/>
      <c r="F236" s="941"/>
      <c r="G236" s="941"/>
      <c r="H236" s="941"/>
      <c r="I236" s="941"/>
      <c r="J236" s="941"/>
      <c r="K236" s="941"/>
      <c r="L236" s="941"/>
      <c r="M236" s="941"/>
      <c r="N236" s="941"/>
      <c r="O236" s="941"/>
      <c r="P236" s="1307"/>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2:228" ht="18" customHeight="1" x14ac:dyDescent="0.3">
      <c r="B237" s="940" t="s">
        <v>2010</v>
      </c>
      <c r="C237" s="941"/>
      <c r="D237" s="941"/>
      <c r="E237" s="941"/>
      <c r="F237" s="941"/>
      <c r="G237" s="941"/>
      <c r="H237" s="941"/>
      <c r="I237" s="941"/>
      <c r="J237" s="941"/>
      <c r="K237" s="941"/>
      <c r="L237" s="941"/>
      <c r="M237" s="941"/>
      <c r="N237" s="941"/>
      <c r="O237" s="941"/>
      <c r="P237" s="1308"/>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2:228" ht="15" customHeight="1" x14ac:dyDescent="0.3">
      <c r="B238" s="146" t="s">
        <v>2013</v>
      </c>
      <c r="C238" s="1271"/>
      <c r="D238" s="1271"/>
      <c r="E238" s="1271"/>
      <c r="F238" s="1271"/>
      <c r="G238" s="1271"/>
      <c r="H238" s="1271"/>
      <c r="I238" s="1271"/>
      <c r="J238" s="1271"/>
      <c r="K238" s="1271"/>
      <c r="L238" s="1271"/>
      <c r="M238" s="1271"/>
      <c r="N238" s="1271"/>
      <c r="O238" s="66"/>
      <c r="P238" s="82">
        <f>IF(C238=S238,0,IF(C238=T238,0.05,IF(C238=U238,0.1,0)))</f>
        <v>0</v>
      </c>
      <c r="R238" s="947"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2:228" ht="15" customHeight="1" x14ac:dyDescent="0.3">
      <c r="B239" s="233" t="s">
        <v>2012</v>
      </c>
      <c r="C239" s="1282"/>
      <c r="D239" s="1282"/>
      <c r="E239" s="1282"/>
      <c r="F239" s="1282"/>
      <c r="G239" s="1282"/>
      <c r="H239" s="1282"/>
      <c r="I239" s="1282"/>
      <c r="J239" s="1282"/>
      <c r="K239" s="1282"/>
      <c r="L239" s="1282"/>
      <c r="M239" s="1282"/>
      <c r="N239" s="1282"/>
      <c r="O239" s="254"/>
      <c r="P239" s="82">
        <f>IF(C239=S239,0,IF(C239=T239,0.05,IF(C239=U239,0.1,0)))</f>
        <v>0</v>
      </c>
      <c r="R239" s="947"/>
      <c r="S239" s="50" t="s">
        <v>1941</v>
      </c>
      <c r="T239" s="50" t="s">
        <v>1996</v>
      </c>
      <c r="U239" s="50" t="s">
        <v>1997</v>
      </c>
      <c r="V239" s="97"/>
      <c r="W239" s="129">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2:228" ht="14" x14ac:dyDescent="0.3">
      <c r="B240" s="1169"/>
      <c r="C240" s="1169"/>
      <c r="D240" s="1169"/>
      <c r="E240" s="1169"/>
      <c r="F240" s="1169"/>
      <c r="G240" s="1169"/>
      <c r="H240" s="1169"/>
      <c r="I240" s="1169"/>
      <c r="J240" s="1169"/>
      <c r="K240" s="1169"/>
      <c r="L240" s="1169"/>
      <c r="M240" s="1169"/>
      <c r="N240" s="1169"/>
      <c r="O240" s="1169"/>
      <c r="P240" s="63"/>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20.25" customHeight="1" x14ac:dyDescent="0.3">
      <c r="A241" s="15"/>
      <c r="B241" s="922" t="s">
        <v>570</v>
      </c>
      <c r="C241" s="926"/>
      <c r="D241" s="926"/>
      <c r="E241" s="926"/>
      <c r="F241" s="926"/>
      <c r="G241" s="926"/>
      <c r="H241" s="926"/>
      <c r="I241" s="926"/>
      <c r="J241" s="926"/>
      <c r="K241" s="926"/>
      <c r="L241" s="926"/>
      <c r="M241" s="926"/>
      <c r="N241" s="926"/>
      <c r="O241" s="926"/>
      <c r="P241" s="385"/>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3">
      <c r="B242" s="968" t="s">
        <v>1027</v>
      </c>
      <c r="C242" s="1345"/>
      <c r="D242" s="1345"/>
      <c r="E242" s="1345"/>
      <c r="F242" s="1345"/>
      <c r="G242" s="1291"/>
      <c r="H242" s="1292"/>
      <c r="I242" s="1292"/>
      <c r="J242" s="1292"/>
      <c r="K242" s="1292"/>
      <c r="L242" s="1292"/>
      <c r="M242" s="1292"/>
      <c r="N242" s="1292"/>
      <c r="O242" s="1292"/>
      <c r="P242" s="91">
        <f>IF(G242=$T$242,0.09,IF(G242=$U$242,0.18,IF(G242=$V$242,0.28,0)))</f>
        <v>0</v>
      </c>
      <c r="R242" s="947" t="s">
        <v>2196</v>
      </c>
      <c r="S242" s="50" t="s">
        <v>1941</v>
      </c>
      <c r="T242" s="50" t="s">
        <v>915</v>
      </c>
      <c r="U242" s="50" t="s">
        <v>1802</v>
      </c>
      <c r="V242" s="50" t="s">
        <v>916</v>
      </c>
      <c r="W242" s="5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5" customHeight="1" x14ac:dyDescent="0.3">
      <c r="B243" s="1294" t="s">
        <v>917</v>
      </c>
      <c r="C243" s="1295"/>
      <c r="D243" s="1295"/>
      <c r="E243" s="1295"/>
      <c r="F243" s="1296"/>
      <c r="G243" s="1299"/>
      <c r="H243" s="1300"/>
      <c r="I243" s="1300"/>
      <c r="J243" s="1300"/>
      <c r="K243" s="1300"/>
      <c r="L243" s="1300"/>
      <c r="M243" s="1300"/>
      <c r="N243" s="1300"/>
      <c r="O243" s="1301"/>
      <c r="P243" s="82">
        <f>IF(G243=$T$242,0.06,IF(G243=$U$242,0.11,IF(G243=$V$242,0.17,0)))</f>
        <v>0</v>
      </c>
      <c r="R243" s="947"/>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9.5" customHeight="1" x14ac:dyDescent="0.3">
      <c r="B244" s="1346" t="s">
        <v>2133</v>
      </c>
      <c r="C244" s="1347"/>
      <c r="D244" s="1347"/>
      <c r="E244" s="1347"/>
      <c r="F244" s="1347"/>
      <c r="G244" s="1347"/>
      <c r="H244" s="1347"/>
      <c r="I244" s="1347"/>
      <c r="J244" s="1347"/>
      <c r="K244" s="1347"/>
      <c r="L244" s="1347"/>
      <c r="M244" s="1347"/>
      <c r="N244" s="1347"/>
      <c r="O244" s="1348"/>
      <c r="P244" s="91">
        <f>IF(S244=1,0.1,0)</f>
        <v>0</v>
      </c>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3">
      <c r="B245" s="1233"/>
      <c r="C245" s="1233"/>
      <c r="D245" s="1233"/>
      <c r="E245" s="1233"/>
      <c r="F245" s="1233"/>
      <c r="G245" s="1233"/>
      <c r="H245" s="1233"/>
      <c r="I245" s="1233"/>
      <c r="J245" s="1233"/>
      <c r="K245" s="1233"/>
      <c r="L245" s="1233"/>
      <c r="M245" s="1233"/>
      <c r="N245" s="1233"/>
      <c r="O245" s="1233"/>
      <c r="P245" s="7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2" customHeight="1" x14ac:dyDescent="0.3">
      <c r="B246" s="1169"/>
      <c r="C246" s="1169"/>
      <c r="D246" s="1169"/>
      <c r="E246" s="1169"/>
      <c r="F246" s="1169"/>
      <c r="G246" s="1169"/>
      <c r="H246" s="1169"/>
      <c r="I246" s="1169"/>
      <c r="J246" s="1169"/>
      <c r="K246" s="1169"/>
      <c r="L246" s="1169"/>
      <c r="M246" s="1169"/>
      <c r="N246" s="1169"/>
      <c r="O246" s="1169"/>
      <c r="P246" s="63"/>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9.5" customHeight="1" x14ac:dyDescent="0.3">
      <c r="A247" s="15"/>
      <c r="B247" s="308" t="s">
        <v>1957</v>
      </c>
      <c r="C247" s="1298"/>
      <c r="D247" s="1298"/>
      <c r="E247" s="1298"/>
      <c r="F247" s="1298"/>
      <c r="G247" s="1298"/>
      <c r="H247" s="1298"/>
      <c r="I247" s="1298"/>
      <c r="J247" s="1298"/>
      <c r="K247" s="1298"/>
      <c r="L247" s="1298"/>
      <c r="M247" s="1298"/>
      <c r="N247" s="1298"/>
      <c r="O247" s="1298"/>
      <c r="P247" s="82">
        <f>IF(S247=1,0,IF(S247=2,0.1,IF(S247=3,0.1,0)))</f>
        <v>0</v>
      </c>
      <c r="R247" s="50" t="s">
        <v>2223</v>
      </c>
      <c r="S247" s="555">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8" customHeight="1" x14ac:dyDescent="0.3">
      <c r="A248" s="15"/>
      <c r="B248" s="1024" t="s">
        <v>1869</v>
      </c>
      <c r="C248" s="1025"/>
      <c r="D248" s="1025"/>
      <c r="E248" s="1025"/>
      <c r="F248" s="1025"/>
      <c r="G248" s="1025"/>
      <c r="H248" s="1025"/>
      <c r="I248" s="1025"/>
      <c r="J248" s="1025"/>
      <c r="K248" s="1025"/>
      <c r="L248" s="1025"/>
      <c r="M248" s="1025"/>
      <c r="N248" s="1025"/>
      <c r="O248" s="1025"/>
      <c r="P248" s="91">
        <f>IF(S248=1,0.14,0)</f>
        <v>0</v>
      </c>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2" customHeight="1" x14ac:dyDescent="0.3">
      <c r="B249" s="1169"/>
      <c r="C249" s="1169"/>
      <c r="D249" s="1169"/>
      <c r="E249" s="1169"/>
      <c r="F249" s="1169"/>
      <c r="G249" s="1169"/>
      <c r="H249" s="1169"/>
      <c r="I249" s="1169"/>
      <c r="J249" s="1169"/>
      <c r="K249" s="1169"/>
      <c r="L249" s="1169"/>
      <c r="M249" s="1169"/>
      <c r="N249" s="1169"/>
      <c r="O249" s="1169"/>
      <c r="P249" s="63"/>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8" customHeight="1" x14ac:dyDescent="0.3">
      <c r="A250" s="15"/>
      <c r="B250" s="1174" t="s">
        <v>597</v>
      </c>
      <c r="C250" s="1174"/>
      <c r="D250" s="1174"/>
      <c r="E250" s="1174"/>
      <c r="F250" s="1023"/>
      <c r="G250" s="1023"/>
      <c r="H250" s="806"/>
      <c r="I250" s="806"/>
      <c r="J250" s="806"/>
      <c r="K250" s="806"/>
      <c r="L250" s="806"/>
      <c r="M250" s="806"/>
      <c r="N250" s="806"/>
      <c r="O250" s="806"/>
      <c r="P250" s="21">
        <f>IF(S250=1,0.25,0)</f>
        <v>0</v>
      </c>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2" customHeight="1" x14ac:dyDescent="0.3">
      <c r="B251" s="1169"/>
      <c r="C251" s="1169"/>
      <c r="D251" s="1169"/>
      <c r="E251" s="1169"/>
      <c r="F251" s="1169"/>
      <c r="G251" s="1169"/>
      <c r="H251" s="1169"/>
      <c r="I251" s="1169"/>
      <c r="J251" s="1169"/>
      <c r="K251" s="1169"/>
      <c r="L251" s="1169"/>
      <c r="M251" s="1169"/>
      <c r="N251" s="1169"/>
      <c r="O251" s="1169"/>
      <c r="P251" s="63"/>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18" customHeight="1" x14ac:dyDescent="0.3">
      <c r="B252" s="927" t="s">
        <v>557</v>
      </c>
      <c r="C252" s="925"/>
      <c r="D252" s="925"/>
      <c r="E252" s="925"/>
      <c r="F252" s="925"/>
      <c r="G252" s="925"/>
      <c r="H252" s="925"/>
      <c r="I252" s="925"/>
      <c r="J252" s="925"/>
      <c r="K252" s="925"/>
      <c r="L252" s="925"/>
      <c r="M252" s="925"/>
      <c r="N252" s="925"/>
      <c r="O252" s="925"/>
      <c r="P252" s="300"/>
      <c r="R252" s="10"/>
      <c r="S252" s="10"/>
      <c r="Y252" s="10"/>
      <c r="Z252" s="739"/>
      <c r="AA252" s="739"/>
      <c r="AB252" s="739"/>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3">
      <c r="B253" s="776" t="s">
        <v>559</v>
      </c>
      <c r="C253" s="776"/>
      <c r="D253" s="776"/>
      <c r="E253" s="776"/>
      <c r="F253" s="776"/>
      <c r="G253" s="776"/>
      <c r="H253" s="776"/>
      <c r="I253" s="776"/>
      <c r="J253" s="776"/>
      <c r="K253" s="776"/>
      <c r="L253" s="776"/>
      <c r="M253" s="776"/>
      <c r="N253" s="708"/>
      <c r="O253" s="708"/>
      <c r="P253" s="21">
        <f>IF(N253=T253,0.03,IF(N253=U253,0.15,IF(N253=V253,0.38,IF(N253=W253,0.68,IF(N253=X253,0.9,0)))))</f>
        <v>0</v>
      </c>
      <c r="R253" s="50">
        <f>IF(OR(N253=U253,N253=V253,N253=W253,N253=X253),1,0)</f>
        <v>0</v>
      </c>
      <c r="S253" s="10"/>
      <c r="T253" s="50" t="s">
        <v>1968</v>
      </c>
      <c r="U253" s="50" t="s">
        <v>1969</v>
      </c>
      <c r="V253" s="147" t="s">
        <v>1971</v>
      </c>
      <c r="W253" s="50" t="s">
        <v>945</v>
      </c>
      <c r="X253" s="147" t="s">
        <v>558</v>
      </c>
      <c r="Y253" s="10"/>
      <c r="Z253" s="739"/>
      <c r="AA253" s="739"/>
      <c r="AB253" s="739"/>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21" customHeight="1" x14ac:dyDescent="0.3">
      <c r="A254" s="15"/>
      <c r="B254" s="971" t="s">
        <v>560</v>
      </c>
      <c r="C254" s="971"/>
      <c r="D254" s="971"/>
      <c r="E254" s="971"/>
      <c r="F254" s="971"/>
      <c r="G254" s="971"/>
      <c r="H254" s="971"/>
      <c r="I254" s="971"/>
      <c r="J254" s="971"/>
      <c r="K254" s="971"/>
      <c r="L254" s="971"/>
      <c r="M254" s="971"/>
      <c r="N254" s="1023"/>
      <c r="O254" s="1023"/>
      <c r="P254" s="82">
        <f>IF(S254=1,0.1,0)</f>
        <v>0</v>
      </c>
      <c r="R254" s="50" t="s">
        <v>2223</v>
      </c>
      <c r="S254" s="555">
        <v>2</v>
      </c>
      <c r="T254" s="14"/>
      <c r="U254" s="14"/>
      <c r="V254" s="14"/>
      <c r="W254" s="14"/>
      <c r="X254" s="14"/>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2" customHeight="1" x14ac:dyDescent="0.3">
      <c r="B255" s="1169"/>
      <c r="C255" s="1169"/>
      <c r="D255" s="1169"/>
      <c r="E255" s="1169"/>
      <c r="F255" s="1169"/>
      <c r="G255" s="1169"/>
      <c r="H255" s="1169"/>
      <c r="I255" s="1169"/>
      <c r="J255" s="1169"/>
      <c r="K255" s="1169"/>
      <c r="L255" s="1169"/>
      <c r="M255" s="1169"/>
      <c r="N255" s="1169"/>
      <c r="O255" s="1169"/>
      <c r="P255" s="63"/>
      <c r="R255" s="10"/>
      <c r="S255" s="10"/>
      <c r="T255" s="10"/>
      <c r="U255" s="10"/>
      <c r="V255" s="10"/>
      <c r="W255" s="10">
        <v>1E-4</v>
      </c>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3">
      <c r="B256" s="1189" t="s">
        <v>769</v>
      </c>
      <c r="C256" s="1189"/>
      <c r="D256" s="1189"/>
      <c r="E256" s="1189"/>
      <c r="F256" s="1189"/>
      <c r="G256" s="1201"/>
      <c r="H256" s="1201"/>
      <c r="I256" s="1201"/>
      <c r="J256" s="1201"/>
      <c r="K256" s="1201"/>
      <c r="L256" s="1201"/>
      <c r="M256" s="1201"/>
      <c r="N256" s="1201"/>
      <c r="O256" s="1201"/>
      <c r="P256" s="30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3">
      <c r="A257" s="15"/>
      <c r="B257" s="1312" t="s">
        <v>2234</v>
      </c>
      <c r="C257" s="1312"/>
      <c r="D257" s="1312"/>
      <c r="E257" s="1023"/>
      <c r="F257" s="1083"/>
      <c r="G257" s="764" t="s">
        <v>975</v>
      </c>
      <c r="H257" s="765"/>
      <c r="I257" s="765"/>
      <c r="J257" s="765"/>
      <c r="K257" s="765"/>
      <c r="L257" s="765"/>
      <c r="M257" s="765"/>
      <c r="N257" s="765"/>
      <c r="O257" s="766"/>
      <c r="P257" s="744">
        <f>IF(AND(T259&gt;0,T263&gt;0),0.05,0)</f>
        <v>0</v>
      </c>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3">
      <c r="B258" s="1312"/>
      <c r="C258" s="1312"/>
      <c r="D258" s="1312"/>
      <c r="E258" s="1023"/>
      <c r="F258" s="1083"/>
      <c r="G258" s="833" t="s">
        <v>976</v>
      </c>
      <c r="H258" s="713"/>
      <c r="I258" s="713"/>
      <c r="J258" s="713"/>
      <c r="K258" s="713"/>
      <c r="L258" s="713"/>
      <c r="M258" s="713"/>
      <c r="N258" s="713"/>
      <c r="O258" s="834"/>
      <c r="P258" s="752"/>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3">
      <c r="B259" s="1312"/>
      <c r="C259" s="1312"/>
      <c r="D259" s="1312"/>
      <c r="E259" s="1023"/>
      <c r="F259" s="1083"/>
      <c r="G259" s="833" t="s">
        <v>977</v>
      </c>
      <c r="H259" s="713"/>
      <c r="I259" s="713"/>
      <c r="J259" s="713"/>
      <c r="K259" s="713"/>
      <c r="L259" s="713"/>
      <c r="M259" s="713"/>
      <c r="N259" s="713"/>
      <c r="O259" s="834"/>
      <c r="P259" s="752"/>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3">
      <c r="B260" s="1312"/>
      <c r="C260" s="1312"/>
      <c r="D260" s="1312"/>
      <c r="E260" s="1297"/>
      <c r="F260" s="1024"/>
      <c r="G260" s="1338" t="s">
        <v>978</v>
      </c>
      <c r="H260" s="1339"/>
      <c r="I260" s="1339"/>
      <c r="J260" s="1339"/>
      <c r="K260" s="1339"/>
      <c r="L260" s="1339"/>
      <c r="M260" s="1339"/>
      <c r="N260" s="1339"/>
      <c r="O260" s="1340"/>
      <c r="P260" s="752"/>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3">
      <c r="B261" s="1312"/>
      <c r="C261" s="1312"/>
      <c r="D261" s="1312"/>
      <c r="E261" s="1023"/>
      <c r="F261" s="1083"/>
      <c r="G261" s="1170" t="s">
        <v>979</v>
      </c>
      <c r="H261" s="1171"/>
      <c r="I261" s="1171"/>
      <c r="J261" s="1171"/>
      <c r="K261" s="1171"/>
      <c r="L261" s="1171"/>
      <c r="M261" s="1171"/>
      <c r="N261" s="1171"/>
      <c r="O261" s="1172"/>
      <c r="P261" s="752"/>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3">
      <c r="B262" s="1312"/>
      <c r="C262" s="1312"/>
      <c r="D262" s="1312"/>
      <c r="E262" s="1023"/>
      <c r="F262" s="1083"/>
      <c r="G262" s="1170" t="s">
        <v>980</v>
      </c>
      <c r="H262" s="1171"/>
      <c r="I262" s="1171"/>
      <c r="J262" s="1171"/>
      <c r="K262" s="1171"/>
      <c r="L262" s="1171"/>
      <c r="M262" s="1171"/>
      <c r="N262" s="1171"/>
      <c r="O262" s="1172"/>
      <c r="P262" s="752"/>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8" customHeight="1" x14ac:dyDescent="0.3">
      <c r="B263" s="1312"/>
      <c r="C263" s="1312"/>
      <c r="D263" s="1312"/>
      <c r="E263" s="1023"/>
      <c r="F263" s="1083"/>
      <c r="G263" s="1222" t="s">
        <v>670</v>
      </c>
      <c r="H263" s="1223"/>
      <c r="I263" s="1223"/>
      <c r="J263" s="1223"/>
      <c r="K263" s="1223"/>
      <c r="L263" s="1223"/>
      <c r="M263" s="1223"/>
      <c r="N263" s="1223"/>
      <c r="O263" s="1236"/>
      <c r="P263" s="752"/>
      <c r="R263" s="555" t="b">
        <v>0</v>
      </c>
      <c r="S263" s="50">
        <f t="shared" si="14"/>
        <v>0</v>
      </c>
      <c r="T263" s="50">
        <f>SUM(S260:S263)</f>
        <v>0</v>
      </c>
      <c r="U263" s="97"/>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12" customHeight="1" x14ac:dyDescent="0.3">
      <c r="B264" s="1169"/>
      <c r="C264" s="1169"/>
      <c r="D264" s="1169"/>
      <c r="E264" s="1169"/>
      <c r="F264" s="1169"/>
      <c r="G264" s="1169"/>
      <c r="H264" s="1169"/>
      <c r="I264" s="1169"/>
      <c r="J264" s="1169"/>
      <c r="K264" s="1169"/>
      <c r="L264" s="1169"/>
      <c r="M264" s="1169"/>
      <c r="N264" s="1169"/>
      <c r="O264" s="1169"/>
      <c r="P264" s="63"/>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20.25" customHeight="1" x14ac:dyDescent="0.3">
      <c r="B265" s="984" t="s">
        <v>1161</v>
      </c>
      <c r="C265" s="1161"/>
      <c r="D265" s="1161"/>
      <c r="E265" s="1161"/>
      <c r="F265" s="1161"/>
      <c r="G265" s="1161"/>
      <c r="H265" s="1161"/>
      <c r="I265" s="1161"/>
      <c r="J265" s="1161"/>
      <c r="K265" s="1161"/>
      <c r="L265" s="1161"/>
      <c r="M265" s="1161"/>
      <c r="N265" s="1161"/>
      <c r="O265" s="1161"/>
      <c r="P265" s="234"/>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40.5" customHeight="1" x14ac:dyDescent="0.3">
      <c r="B266" s="767" t="s">
        <v>141</v>
      </c>
      <c r="C266" s="768"/>
      <c r="D266" s="768"/>
      <c r="E266" s="768"/>
      <c r="F266" s="768"/>
      <c r="G266" s="768"/>
      <c r="H266" s="768"/>
      <c r="I266" s="768"/>
      <c r="J266" s="768"/>
      <c r="K266" s="768"/>
      <c r="L266" s="768"/>
      <c r="M266" s="768"/>
      <c r="N266" s="768"/>
      <c r="O266" s="768"/>
      <c r="P266" s="233"/>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8" customHeight="1" x14ac:dyDescent="0.3">
      <c r="A267" s="15"/>
      <c r="B267" s="1222" t="s">
        <v>948</v>
      </c>
      <c r="C267" s="1223"/>
      <c r="D267" s="1223"/>
      <c r="E267" s="1223"/>
      <c r="F267" s="1223"/>
      <c r="G267" s="1223"/>
      <c r="H267" s="1223"/>
      <c r="I267" s="1223"/>
      <c r="J267" s="1223"/>
      <c r="K267" s="1223"/>
      <c r="L267" s="1223"/>
      <c r="M267" s="1223"/>
      <c r="N267" s="1366"/>
      <c r="O267" s="1366"/>
      <c r="P267" s="21">
        <f>IF(S267=1,0.05,0)</f>
        <v>0</v>
      </c>
      <c r="R267" s="146" t="s">
        <v>2235</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2" customHeight="1" x14ac:dyDescent="0.3">
      <c r="B268" s="1169"/>
      <c r="C268" s="1169"/>
      <c r="D268" s="1169"/>
      <c r="E268" s="1169"/>
      <c r="F268" s="1169"/>
      <c r="G268" s="1169"/>
      <c r="H268" s="1169"/>
      <c r="I268" s="1169"/>
      <c r="J268" s="1169"/>
      <c r="K268" s="1169"/>
      <c r="L268" s="1169"/>
      <c r="M268" s="1169"/>
      <c r="N268" s="1169"/>
      <c r="O268" s="1169"/>
      <c r="P268" s="63"/>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8" customHeight="1" x14ac:dyDescent="0.3">
      <c r="B269" s="925" t="s">
        <v>1162</v>
      </c>
      <c r="C269" s="925"/>
      <c r="D269" s="925"/>
      <c r="E269" s="925"/>
      <c r="F269" s="925"/>
      <c r="G269" s="925"/>
      <c r="H269" s="925"/>
      <c r="I269" s="925"/>
      <c r="J269" s="925"/>
      <c r="K269" s="925"/>
      <c r="L269" s="925"/>
      <c r="M269" s="925"/>
      <c r="N269" s="925"/>
      <c r="O269" s="925"/>
      <c r="P269" s="146"/>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3">
      <c r="B270" s="292" t="s">
        <v>1163</v>
      </c>
      <c r="C270" s="1190">
        <f>IF(OR($R$270=1,$R$271=1),P33,0)</f>
        <v>0</v>
      </c>
      <c r="D270" s="1191"/>
      <c r="E270" s="1191"/>
      <c r="F270" s="1189" t="s">
        <v>1164</v>
      </c>
      <c r="G270" s="1189"/>
      <c r="H270" s="1189"/>
      <c r="I270" s="1189"/>
      <c r="J270" s="1189"/>
      <c r="K270" s="1189"/>
      <c r="L270" s="1190">
        <f>LETable!AT48</f>
        <v>0</v>
      </c>
      <c r="M270" s="1190"/>
      <c r="N270" s="1189" t="s">
        <v>671</v>
      </c>
      <c r="O270" s="1189"/>
      <c r="P270" s="1188">
        <f>SUM(L270:L274)</f>
        <v>0</v>
      </c>
      <c r="R270" s="292">
        <f>IF(SUM($E$342:$E$366)&gt;0,1,0)</f>
        <v>0</v>
      </c>
      <c r="S270" s="971" t="s">
        <v>862</v>
      </c>
      <c r="T270" s="971"/>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3">
      <c r="B271" s="292" t="s">
        <v>863</v>
      </c>
      <c r="C271" s="1190">
        <f>IF(OR($R$270=1,$R$271=1),P72,0)</f>
        <v>0</v>
      </c>
      <c r="D271" s="1191"/>
      <c r="E271" s="1191"/>
      <c r="F271" s="1189" t="s">
        <v>1164</v>
      </c>
      <c r="G271" s="1189"/>
      <c r="H271" s="1189"/>
      <c r="I271" s="1189"/>
      <c r="J271" s="1189"/>
      <c r="K271" s="1189"/>
      <c r="L271" s="1190">
        <f>LETable!AT49</f>
        <v>0</v>
      </c>
      <c r="M271" s="1190"/>
      <c r="N271" s="1189" t="s">
        <v>671</v>
      </c>
      <c r="O271" s="1189"/>
      <c r="P271" s="1188"/>
      <c r="R271" s="50">
        <f>IF(SUM(E449:E470)&gt;0,1,0)</f>
        <v>0</v>
      </c>
      <c r="S271" s="806" t="s">
        <v>864</v>
      </c>
      <c r="T271" s="806"/>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3">
      <c r="B272" s="292" t="s">
        <v>865</v>
      </c>
      <c r="C272" s="1190">
        <f>IF(OR($R$270=1,$R$271=1),P112,0)</f>
        <v>0</v>
      </c>
      <c r="D272" s="1191"/>
      <c r="E272" s="1191"/>
      <c r="F272" s="1189" t="s">
        <v>1164</v>
      </c>
      <c r="G272" s="1189"/>
      <c r="H272" s="1189"/>
      <c r="I272" s="1189"/>
      <c r="J272" s="1189"/>
      <c r="K272" s="1189"/>
      <c r="L272" s="1190">
        <f>LETable!AT50</f>
        <v>0</v>
      </c>
      <c r="M272" s="1190"/>
      <c r="N272" s="1189" t="s">
        <v>671</v>
      </c>
      <c r="O272" s="1189"/>
      <c r="P272" s="1188"/>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3">
      <c r="B273" s="292" t="s">
        <v>866</v>
      </c>
      <c r="C273" s="1190">
        <f>IF(OR($R$270=1,$R$271=1),P152,0)</f>
        <v>0</v>
      </c>
      <c r="D273" s="1191"/>
      <c r="E273" s="1191"/>
      <c r="F273" s="1189" t="s">
        <v>1164</v>
      </c>
      <c r="G273" s="1189"/>
      <c r="H273" s="1189"/>
      <c r="I273" s="1189"/>
      <c r="J273" s="1189"/>
      <c r="K273" s="1189"/>
      <c r="L273" s="1190">
        <f>LETable!AT51</f>
        <v>0</v>
      </c>
      <c r="M273" s="1190"/>
      <c r="N273" s="1189" t="s">
        <v>671</v>
      </c>
      <c r="O273" s="1189"/>
      <c r="P273" s="1188"/>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5" customHeight="1" x14ac:dyDescent="0.3">
      <c r="B274" s="292" t="s">
        <v>867</v>
      </c>
      <c r="C274" s="1190">
        <f>IF(OR($R$270=1,$R$271=1),P192,0)</f>
        <v>0</v>
      </c>
      <c r="D274" s="1191"/>
      <c r="E274" s="1191"/>
      <c r="F274" s="1189" t="s">
        <v>1164</v>
      </c>
      <c r="G274" s="1189"/>
      <c r="H274" s="1189"/>
      <c r="I274" s="1189"/>
      <c r="J274" s="1189"/>
      <c r="K274" s="1189"/>
      <c r="L274" s="1190">
        <f>LETable!AT52</f>
        <v>0</v>
      </c>
      <c r="M274" s="1190"/>
      <c r="N274" s="1189" t="s">
        <v>671</v>
      </c>
      <c r="O274" s="1189"/>
      <c r="P274" s="1188"/>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8" customHeight="1" x14ac:dyDescent="0.3">
      <c r="B275" s="36"/>
      <c r="C275" s="1218" t="s">
        <v>868</v>
      </c>
      <c r="D275" s="1218"/>
      <c r="E275" s="1218"/>
      <c r="F275" s="1218"/>
      <c r="G275" s="1218"/>
      <c r="H275" s="1218"/>
      <c r="I275" s="1218"/>
      <c r="J275" s="1218"/>
      <c r="K275" s="1218"/>
      <c r="L275" s="1218"/>
      <c r="M275" s="1218"/>
      <c r="N275" s="1218"/>
      <c r="O275" s="1218"/>
      <c r="P275" s="1188"/>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2" customHeight="1" x14ac:dyDescent="0.3">
      <c r="B276" s="1169"/>
      <c r="C276" s="1169"/>
      <c r="D276" s="1169"/>
      <c r="E276" s="1169"/>
      <c r="F276" s="1169"/>
      <c r="G276" s="1169"/>
      <c r="H276" s="1169"/>
      <c r="I276" s="1169"/>
      <c r="J276" s="1169"/>
      <c r="K276" s="1169"/>
      <c r="L276" s="1169"/>
      <c r="M276" s="1169"/>
      <c r="N276" s="1169"/>
      <c r="O276" s="1169"/>
      <c r="P276" s="63"/>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8" customHeight="1" x14ac:dyDescent="0.3">
      <c r="B277" s="947" t="s">
        <v>826</v>
      </c>
      <c r="C277" s="947"/>
      <c r="D277" s="947"/>
      <c r="E277" s="947"/>
      <c r="F277" s="947"/>
      <c r="G277" s="947"/>
      <c r="H277" s="947"/>
      <c r="I277" s="947"/>
      <c r="J277" s="947"/>
      <c r="K277" s="947"/>
      <c r="L277" s="947"/>
      <c r="M277" s="947"/>
      <c r="N277" s="947"/>
      <c r="O277" s="947"/>
      <c r="P277" s="947"/>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16.25" customHeight="1" x14ac:dyDescent="0.3">
      <c r="B278" s="776" t="s">
        <v>2025</v>
      </c>
      <c r="C278" s="776"/>
      <c r="D278" s="776"/>
      <c r="E278" s="776"/>
      <c r="F278" s="776"/>
      <c r="G278" s="776"/>
      <c r="H278" s="776"/>
      <c r="I278" s="776"/>
      <c r="J278" s="776"/>
      <c r="K278" s="776"/>
      <c r="L278" s="776"/>
      <c r="M278" s="776"/>
      <c r="N278" s="776"/>
      <c r="O278" s="776"/>
      <c r="P278" s="776"/>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561"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3">
      <c r="B279" s="925"/>
      <c r="C279" s="925"/>
      <c r="D279" s="925"/>
      <c r="E279" s="925"/>
      <c r="F279" s="925"/>
      <c r="G279" s="925"/>
      <c r="H279" s="925"/>
      <c r="I279" s="925"/>
      <c r="J279" s="925"/>
      <c r="K279" s="925"/>
      <c r="L279" s="925"/>
      <c r="M279" s="927" t="s">
        <v>1685</v>
      </c>
      <c r="N279" s="1017" t="s">
        <v>1686</v>
      </c>
      <c r="O279" s="1017"/>
      <c r="P279" s="1017"/>
      <c r="R279" s="407"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147">
        <v>1</v>
      </c>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3">
      <c r="B280" s="776" t="s">
        <v>1687</v>
      </c>
      <c r="C280" s="776"/>
      <c r="D280" s="776"/>
      <c r="E280" s="776"/>
      <c r="F280" s="776"/>
      <c r="G280" s="776"/>
      <c r="H280" s="776"/>
      <c r="I280" s="776"/>
      <c r="J280" s="776"/>
      <c r="K280" s="776"/>
      <c r="L280" s="776"/>
      <c r="M280" s="927"/>
      <c r="N280" s="390" t="s">
        <v>1688</v>
      </c>
      <c r="O280" s="390" t="s">
        <v>1689</v>
      </c>
      <c r="P280" s="390" t="s">
        <v>1690</v>
      </c>
      <c r="R280" s="1141" t="s">
        <v>2224</v>
      </c>
      <c r="S280" s="1141"/>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3">
      <c r="A281" s="15"/>
      <c r="B281" s="1228"/>
      <c r="C281" s="1228"/>
      <c r="D281" s="1228"/>
      <c r="E281" s="391"/>
      <c r="F281" s="927" t="s">
        <v>1696</v>
      </c>
      <c r="G281" s="927"/>
      <c r="H281" s="927"/>
      <c r="I281" s="927"/>
      <c r="J281" s="927"/>
      <c r="K281" s="927"/>
      <c r="L281" s="927"/>
      <c r="M281" s="76">
        <f>IF(S281=0,0,0.2)</f>
        <v>0</v>
      </c>
      <c r="N281" s="205"/>
      <c r="O281" s="205"/>
      <c r="P281" s="294" t="str">
        <f>IF(X281=0,"",X281)</f>
        <v/>
      </c>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3">
      <c r="B282" s="1228"/>
      <c r="C282" s="1228"/>
      <c r="D282" s="1228"/>
      <c r="E282" s="391"/>
      <c r="F282" s="927" t="s">
        <v>1697</v>
      </c>
      <c r="G282" s="927"/>
      <c r="H282" s="927"/>
      <c r="I282" s="927"/>
      <c r="J282" s="927"/>
      <c r="K282" s="927"/>
      <c r="L282" s="927"/>
      <c r="M282" s="76">
        <f>IF(S282=0,0,0.2)</f>
        <v>0</v>
      </c>
      <c r="N282" s="205"/>
      <c r="O282" s="205"/>
      <c r="P282" s="294" t="str">
        <f>IF(X282=0,"",X282)</f>
        <v/>
      </c>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3">
      <c r="B283" s="1228"/>
      <c r="C283" s="1228"/>
      <c r="D283" s="1228"/>
      <c r="E283" s="391"/>
      <c r="F283" s="927" t="s">
        <v>1698</v>
      </c>
      <c r="G283" s="927"/>
      <c r="H283" s="927"/>
      <c r="I283" s="927"/>
      <c r="J283" s="927"/>
      <c r="K283" s="927"/>
      <c r="L283" s="927"/>
      <c r="M283" s="76">
        <f>IF(S283=0,0,0.34)</f>
        <v>0</v>
      </c>
      <c r="N283" s="205"/>
      <c r="O283" s="205"/>
      <c r="P283" s="294" t="str">
        <f>IF(X283=0,"",X283)</f>
        <v/>
      </c>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3">
      <c r="B284" s="1228"/>
      <c r="C284" s="1228"/>
      <c r="D284" s="1228"/>
      <c r="E284" s="391"/>
      <c r="F284" s="927" t="s">
        <v>1699</v>
      </c>
      <c r="G284" s="927"/>
      <c r="H284" s="927"/>
      <c r="I284" s="927"/>
      <c r="J284" s="927"/>
      <c r="K284" s="927"/>
      <c r="L284" s="927"/>
      <c r="M284" s="76">
        <f>IF(S284=0,0,0.37)</f>
        <v>0</v>
      </c>
      <c r="N284" s="205"/>
      <c r="O284" s="205"/>
      <c r="P284" s="294" t="str">
        <f>IF(X284=0,"",X284)</f>
        <v/>
      </c>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5" customHeight="1" x14ac:dyDescent="0.3">
      <c r="B285" s="1228"/>
      <c r="C285" s="1228"/>
      <c r="D285" s="1228"/>
      <c r="E285" s="391"/>
      <c r="F285" s="927" t="s">
        <v>1700</v>
      </c>
      <c r="G285" s="927"/>
      <c r="H285" s="927"/>
      <c r="I285" s="927"/>
      <c r="J285" s="927"/>
      <c r="K285" s="927"/>
      <c r="L285" s="927"/>
      <c r="M285" s="76">
        <f>IF(S285=0,0,0.2)</f>
        <v>0</v>
      </c>
      <c r="N285" s="205"/>
      <c r="O285" s="205"/>
      <c r="P285" s="294" t="str">
        <f>IF(X285=0,"",X285)</f>
        <v/>
      </c>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18" customHeight="1" x14ac:dyDescent="0.3">
      <c r="B286" s="950" t="s">
        <v>1701</v>
      </c>
      <c r="C286" s="950"/>
      <c r="D286" s="950"/>
      <c r="E286" s="776"/>
      <c r="F286" s="776"/>
      <c r="G286" s="776"/>
      <c r="H286" s="776"/>
      <c r="I286" s="776"/>
      <c r="J286" s="776"/>
      <c r="K286" s="776"/>
      <c r="L286" s="776"/>
      <c r="M286" s="392"/>
      <c r="N286" s="390"/>
      <c r="O286" s="390"/>
      <c r="P286" s="390"/>
      <c r="R286" s="129"/>
      <c r="S286" s="98"/>
      <c r="T286" s="94"/>
      <c r="U286" s="94"/>
      <c r="V286" s="94"/>
      <c r="W286" s="94"/>
      <c r="X286" s="94"/>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27" customHeight="1" x14ac:dyDescent="0.3">
      <c r="B287" s="453" t="s">
        <v>1702</v>
      </c>
      <c r="C287" s="469"/>
      <c r="D287" s="454"/>
      <c r="E287" s="266"/>
      <c r="F287" s="1179" t="str">
        <f>IF(Z295=1,"","Sciatic nerve; overall loss at level shown; no averaging")</f>
        <v/>
      </c>
      <c r="G287" s="1179"/>
      <c r="H287" s="1179"/>
      <c r="I287" s="1179"/>
      <c r="J287" s="1179"/>
      <c r="K287" s="1179"/>
      <c r="L287" s="1179"/>
      <c r="M287" s="76">
        <f>IF(OR(F287="",S287=0),0,IF($Z$295=2,0.75,IF($Z$295=3,0.4,0)))</f>
        <v>0</v>
      </c>
      <c r="N287" s="205"/>
      <c r="O287" s="205"/>
      <c r="P287" s="294" t="str">
        <f>IF(X287=0,"",X287)</f>
        <v/>
      </c>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3">
      <c r="B288" s="467"/>
      <c r="C288" s="39"/>
      <c r="D288" s="470"/>
      <c r="E288" s="468"/>
      <c r="F288" s="806" t="str">
        <f>IF(OR(Z295=1,S287=1),"","Biceps femoris (long head)")</f>
        <v/>
      </c>
      <c r="G288" s="806"/>
      <c r="H288" s="806"/>
      <c r="I288" s="806"/>
      <c r="J288" s="806"/>
      <c r="K288" s="806"/>
      <c r="L288" s="806"/>
      <c r="M288" s="76">
        <f>IF(OR(F288="",S288=0),0,IF($Z$295=2,0.75,IF($Z$295=3,0.4,0)))</f>
        <v>0</v>
      </c>
      <c r="N288" s="205"/>
      <c r="O288" s="205"/>
      <c r="P288" s="294" t="str">
        <f>IF(X288=0,"",X288)</f>
        <v/>
      </c>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3">
      <c r="B289" s="467"/>
      <c r="C289" s="39"/>
      <c r="D289" s="470"/>
      <c r="E289" s="468"/>
      <c r="F289" s="806" t="str">
        <f>IF(OR(S287=1,Z295=1),"","Biceps femoris (short head)")</f>
        <v/>
      </c>
      <c r="G289" s="806"/>
      <c r="H289" s="806"/>
      <c r="I289" s="806"/>
      <c r="J289" s="806"/>
      <c r="K289" s="806"/>
      <c r="L289" s="806"/>
      <c r="M289" s="76">
        <f>IF(OR(F289="",S289=0),0,IF($Z$295=2,0.75,IF($Z$295=3,0.4,0)))</f>
        <v>0</v>
      </c>
      <c r="N289" s="205"/>
      <c r="O289" s="205"/>
      <c r="P289" s="294" t="str">
        <f>IF(X289=0,"",X289)</f>
        <v/>
      </c>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3">
      <c r="B290" s="467"/>
      <c r="C290" s="39"/>
      <c r="D290" s="470"/>
      <c r="E290" s="468"/>
      <c r="F290" s="806" t="str">
        <f>IF(OR(Z295=1,S287=1),"","Semitendinosus")</f>
        <v/>
      </c>
      <c r="G290" s="806"/>
      <c r="H290" s="806"/>
      <c r="I290" s="806"/>
      <c r="J290" s="806"/>
      <c r="K290" s="806"/>
      <c r="L290" s="806"/>
      <c r="M290" s="76">
        <f>IF(OR(F290="",S290=0),0,IF($Z$295=2,0.75,IF($Z$295=3,0.4,0)))</f>
        <v>0</v>
      </c>
      <c r="N290" s="205"/>
      <c r="O290" s="205"/>
      <c r="P290" s="294" t="str">
        <f>IF(X290=0,"",X290)</f>
        <v/>
      </c>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3">
      <c r="B291" s="285"/>
      <c r="C291" s="183"/>
      <c r="D291" s="455"/>
      <c r="E291" s="468"/>
      <c r="F291" s="806" t="str">
        <f>IF(OR(Z295=1,S287=1),"","Semimembranosus")</f>
        <v/>
      </c>
      <c r="G291" s="806"/>
      <c r="H291" s="806"/>
      <c r="I291" s="806"/>
      <c r="J291" s="806"/>
      <c r="K291" s="806"/>
      <c r="L291" s="806"/>
      <c r="M291" s="76">
        <f>IF(OR(F291="",S291=0),0,IF($Z$295=2,0.75,IF($Z$295=3,0.4,0)))</f>
        <v>0</v>
      </c>
      <c r="N291" s="205"/>
      <c r="O291" s="205"/>
      <c r="P291" s="294" t="str">
        <f>IF(X291=0,"",X291)</f>
        <v/>
      </c>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15" customHeight="1" x14ac:dyDescent="0.3">
      <c r="B292" s="1227"/>
      <c r="C292" s="1227"/>
      <c r="D292" s="1227"/>
      <c r="E292" s="1228"/>
      <c r="F292" s="1228"/>
      <c r="G292" s="1228"/>
      <c r="H292" s="1228"/>
      <c r="I292" s="1228"/>
      <c r="J292" s="1228"/>
      <c r="K292" s="1228"/>
      <c r="L292" s="1228"/>
      <c r="M292" s="393"/>
      <c r="N292" s="1196" t="str">
        <f>IF(M287&gt;0,"Total:",IF(AND(M287=0,P292&gt;0),"Average:",""))</f>
        <v/>
      </c>
      <c r="O292" s="1196"/>
      <c r="P292" s="191">
        <f>IF(AND(P287="",P288="",P289="",P290="",P291=""),0,AVERAGE(P287:P291))</f>
        <v>0</v>
      </c>
      <c r="R292" s="10"/>
      <c r="S292" s="98"/>
      <c r="T292" s="94"/>
      <c r="U292" s="94"/>
      <c r="V292" s="96"/>
      <c r="W292" s="96"/>
      <c r="X292" s="94"/>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27" customHeight="1" x14ac:dyDescent="0.3">
      <c r="B293" s="776" t="s">
        <v>2236</v>
      </c>
      <c r="C293" s="776"/>
      <c r="D293" s="776"/>
      <c r="E293" s="373"/>
      <c r="F293" s="1370" t="str">
        <f>IF(OR(Z296=1,Z296=7),"","Peroneal - overall loss at level shown")</f>
        <v/>
      </c>
      <c r="G293" s="1370"/>
      <c r="H293" s="1370"/>
      <c r="I293" s="1370"/>
      <c r="J293" s="1370"/>
      <c r="K293" s="1370"/>
      <c r="L293" s="1370"/>
      <c r="M293" s="78">
        <f t="shared" ref="M293:M298" si="18">IF(OR(F293="",S293=0),0,IF($Z$296=2,0.39,IF(OR($Z$296=3,$Z$296=4),0.28,IF(OR($Z$296=5,$Z$296=6),0.06,0))))</f>
        <v>0</v>
      </c>
      <c r="N293" s="399"/>
      <c r="O293" s="399"/>
      <c r="P293" s="301" t="str">
        <f t="shared" ref="P293:P298" si="19">IF(X293=0,"",X293)</f>
        <v/>
      </c>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3">
      <c r="B294" s="776"/>
      <c r="C294" s="776"/>
      <c r="D294" s="776"/>
      <c r="E294" s="372"/>
      <c r="F294" s="1221" t="str">
        <f>IF(OR(Z296=1,Z296=7,S293=1),"","Tibialis anterior")</f>
        <v/>
      </c>
      <c r="G294" s="1221"/>
      <c r="H294" s="1221"/>
      <c r="I294" s="1221"/>
      <c r="J294" s="1221"/>
      <c r="K294" s="1221"/>
      <c r="L294" s="1221"/>
      <c r="M294" s="76">
        <f t="shared" si="18"/>
        <v>0</v>
      </c>
      <c r="N294" s="205"/>
      <c r="O294" s="205"/>
      <c r="P294" s="301" t="str">
        <f t="shared" si="19"/>
        <v/>
      </c>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3">
      <c r="B295" s="776"/>
      <c r="C295" s="776"/>
      <c r="D295" s="776"/>
      <c r="E295" s="372"/>
      <c r="F295" s="806" t="str">
        <f>IF(OR(Z296=1,Z296=7,S293=1),"","Extensor hallucis longus")</f>
        <v/>
      </c>
      <c r="G295" s="806"/>
      <c r="H295" s="806"/>
      <c r="I295" s="806"/>
      <c r="J295" s="806"/>
      <c r="K295" s="806"/>
      <c r="L295" s="806"/>
      <c r="M295" s="76">
        <f t="shared" si="18"/>
        <v>0</v>
      </c>
      <c r="N295" s="205"/>
      <c r="O295" s="205"/>
      <c r="P295" s="301" t="str">
        <f t="shared" si="19"/>
        <v/>
      </c>
      <c r="R295" s="586" t="b">
        <v>0</v>
      </c>
      <c r="S295" s="578">
        <f t="shared" si="20"/>
        <v>0</v>
      </c>
      <c r="T295" s="588">
        <f t="shared" si="21"/>
        <v>0</v>
      </c>
      <c r="U295" s="588">
        <f t="shared" si="22"/>
        <v>0</v>
      </c>
      <c r="V295" s="588">
        <f t="shared" si="23"/>
        <v>0</v>
      </c>
      <c r="W295" s="588">
        <f t="shared" si="24"/>
        <v>0</v>
      </c>
      <c r="X295" s="588">
        <f t="shared" si="25"/>
        <v>0</v>
      </c>
      <c r="Y295" s="14"/>
      <c r="Z295" s="555">
        <v>1</v>
      </c>
      <c r="AA295" s="806" t="s">
        <v>810</v>
      </c>
      <c r="AB295" s="806"/>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3">
      <c r="B296" s="776"/>
      <c r="C296" s="776"/>
      <c r="D296" s="776"/>
      <c r="E296" s="372"/>
      <c r="F296" s="1221" t="str">
        <f>IF(OR(Z296=1,Z296=7,S293=1),"","Extensor digitorum longus")</f>
        <v/>
      </c>
      <c r="G296" s="1221"/>
      <c r="H296" s="1221"/>
      <c r="I296" s="1221"/>
      <c r="J296" s="1221"/>
      <c r="K296" s="1221"/>
      <c r="L296" s="1221"/>
      <c r="M296" s="76">
        <f t="shared" si="18"/>
        <v>0</v>
      </c>
      <c r="N296" s="205"/>
      <c r="O296" s="205"/>
      <c r="P296" s="301" t="str">
        <f t="shared" si="19"/>
        <v/>
      </c>
      <c r="R296" s="586" t="b">
        <v>0</v>
      </c>
      <c r="S296" s="578">
        <f t="shared" si="20"/>
        <v>0</v>
      </c>
      <c r="T296" s="588">
        <f t="shared" si="21"/>
        <v>0</v>
      </c>
      <c r="U296" s="588">
        <f t="shared" si="22"/>
        <v>0</v>
      </c>
      <c r="V296" s="588">
        <f t="shared" si="23"/>
        <v>0</v>
      </c>
      <c r="W296" s="588">
        <f t="shared" si="24"/>
        <v>0</v>
      </c>
      <c r="X296" s="588">
        <f t="shared" si="25"/>
        <v>0</v>
      </c>
      <c r="Y296" s="10"/>
      <c r="Z296" s="555">
        <v>1</v>
      </c>
      <c r="AA296" s="1140" t="s">
        <v>811</v>
      </c>
      <c r="AB296" s="1140"/>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3">
      <c r="B297" s="776"/>
      <c r="C297" s="776"/>
      <c r="D297" s="776"/>
      <c r="E297" s="372"/>
      <c r="F297" s="806" t="str">
        <f>IF(OR(Z296=1,Z296=7,S293=1),"","Peroneus tertius")</f>
        <v/>
      </c>
      <c r="G297" s="806"/>
      <c r="H297" s="806"/>
      <c r="I297" s="806"/>
      <c r="J297" s="806"/>
      <c r="K297" s="806"/>
      <c r="L297" s="806"/>
      <c r="M297" s="76">
        <f t="shared" si="18"/>
        <v>0</v>
      </c>
      <c r="N297" s="205"/>
      <c r="O297" s="205"/>
      <c r="P297" s="301" t="str">
        <f t="shared" si="19"/>
        <v/>
      </c>
      <c r="R297" s="586" t="b">
        <v>0</v>
      </c>
      <c r="S297" s="578">
        <f t="shared" si="20"/>
        <v>0</v>
      </c>
      <c r="T297" s="588">
        <f t="shared" si="21"/>
        <v>0</v>
      </c>
      <c r="U297" s="588">
        <f t="shared" si="22"/>
        <v>0</v>
      </c>
      <c r="V297" s="588">
        <f t="shared" si="23"/>
        <v>0</v>
      </c>
      <c r="W297" s="588">
        <f t="shared" si="24"/>
        <v>0</v>
      </c>
      <c r="X297" s="588">
        <f t="shared" si="25"/>
        <v>0</v>
      </c>
      <c r="Y297" s="62"/>
      <c r="Z297" s="609">
        <v>1</v>
      </c>
      <c r="AA297" s="1176" t="s">
        <v>1024</v>
      </c>
      <c r="AB297" s="117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3">
      <c r="B298" s="776"/>
      <c r="C298" s="776"/>
      <c r="D298" s="776"/>
      <c r="E298" s="372"/>
      <c r="F298" s="1221" t="str">
        <f>IF(OR(Z296=1,Z296=7,S293=1),"","Extensor digitorum brevis")</f>
        <v/>
      </c>
      <c r="G298" s="1221"/>
      <c r="H298" s="1221"/>
      <c r="I298" s="1221"/>
      <c r="J298" s="1221"/>
      <c r="K298" s="1221"/>
      <c r="L298" s="1221"/>
      <c r="M298" s="76">
        <f t="shared" si="18"/>
        <v>0</v>
      </c>
      <c r="N298" s="205"/>
      <c r="O298" s="205"/>
      <c r="P298" s="301" t="str">
        <f t="shared" si="19"/>
        <v/>
      </c>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15" customHeight="1" x14ac:dyDescent="0.3">
      <c r="B299" s="776"/>
      <c r="C299" s="776"/>
      <c r="D299" s="776"/>
      <c r="E299" s="394"/>
      <c r="F299" s="958" t="str">
        <f>IF(OR(Z296=1,Z296=2,Z296=3,Z296=5,Z296=7),"",IF(OR(Z296=4,Z296=6),"Total for peroneal except superficial; FOOT impairment:",""))</f>
        <v/>
      </c>
      <c r="G299" s="958"/>
      <c r="H299" s="958"/>
      <c r="I299" s="958"/>
      <c r="J299" s="958"/>
      <c r="K299" s="958"/>
      <c r="L299" s="958"/>
      <c r="M299" s="958"/>
      <c r="N299" s="958"/>
      <c r="O299" s="958"/>
      <c r="P299" s="191" t="str">
        <f>IF(F299="","",IF(AND(P293="",P294="",P295="",P296="",P297="",P298=""),0,IF(Z296&lt;&gt;2,AVERAGE(P293:P298),"")))</f>
        <v/>
      </c>
      <c r="R299" s="129"/>
      <c r="S299" s="98"/>
      <c r="T299" s="94"/>
      <c r="U299" s="94"/>
      <c r="V299" s="96"/>
      <c r="W299" s="94"/>
      <c r="X299" s="94"/>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25.5" customHeight="1" x14ac:dyDescent="0.3">
      <c r="B300" s="776"/>
      <c r="C300" s="776"/>
      <c r="D300" s="776"/>
      <c r="E300" s="372"/>
      <c r="F300" s="776" t="str">
        <f>IF(OR(Z296=1,Z296=2,Z296=3,Z296=5),"","Superficial peroneal
overall loss; no averaging")</f>
        <v/>
      </c>
      <c r="G300" s="776"/>
      <c r="H300" s="776"/>
      <c r="I300" s="776"/>
      <c r="J300" s="776"/>
      <c r="K300" s="776"/>
      <c r="L300" s="776"/>
      <c r="M300" s="76">
        <f>IF(OR(F300="",S300=0),0,IF(Z296=2,0.39,0.11))</f>
        <v>0</v>
      </c>
      <c r="N300" s="205"/>
      <c r="O300" s="205"/>
      <c r="P300" s="294" t="str">
        <f>IF(X300=0,"",X300)</f>
        <v/>
      </c>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3">
      <c r="B301" s="776"/>
      <c r="C301" s="776"/>
      <c r="D301" s="776"/>
      <c r="E301" s="372"/>
      <c r="F301" s="806" t="str">
        <f>IF(AND(Z296=2,S293=1),"",IF(S300=1,"",IF(OR(Z296=2,Z296=4,Z296=6,Z296=7),"Peroneus longus","")))</f>
        <v/>
      </c>
      <c r="G301" s="806"/>
      <c r="H301" s="806"/>
      <c r="I301" s="806"/>
      <c r="J301" s="806"/>
      <c r="K301" s="806"/>
      <c r="L301" s="806"/>
      <c r="M301" s="76">
        <f>IF(OR(F301="",S301=0),0,IF(Z296=2,0.39,0.11))</f>
        <v>0</v>
      </c>
      <c r="N301" s="205"/>
      <c r="O301" s="205"/>
      <c r="P301" s="294" t="str">
        <f>IF(X301=0,"",X301)</f>
        <v/>
      </c>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3">
      <c r="B302" s="776"/>
      <c r="C302" s="776"/>
      <c r="D302" s="776"/>
      <c r="E302" s="372"/>
      <c r="F302" s="1221" t="str">
        <f>IF(AND(Z296=2,S293=1),"",IF(S300=1,"",IF(OR(Z296=2,Z296=4,Z296=6,Z296=7),"Peroneus brevis","")))</f>
        <v/>
      </c>
      <c r="G302" s="1221"/>
      <c r="H302" s="1221"/>
      <c r="I302" s="1221"/>
      <c r="J302" s="1221"/>
      <c r="K302" s="1221"/>
      <c r="L302" s="1221"/>
      <c r="M302" s="76">
        <f>IF(OR(F302="",S302=0),0,IF(Z296=2,0.39,0.11))</f>
        <v>0</v>
      </c>
      <c r="N302" s="205"/>
      <c r="O302" s="205"/>
      <c r="P302" s="294" t="str">
        <f>IF(X302=0,"",X302)</f>
        <v/>
      </c>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5" customHeight="1" x14ac:dyDescent="0.3">
      <c r="B303" s="1099" t="str">
        <f>IF(Z296=1,"",IF(OR(Z296=2,Z296=3,Z296=5),"Total for peroneal; FOOT impairment:",IF(OR(Z296=4,Z296=6,Z296=7),"Total for superficial peroneal; FOOT impairment:","")))</f>
        <v/>
      </c>
      <c r="C303" s="1100"/>
      <c r="D303" s="1100"/>
      <c r="E303" s="1100"/>
      <c r="F303" s="1100"/>
      <c r="G303" s="1100"/>
      <c r="H303" s="1100"/>
      <c r="I303" s="1100"/>
      <c r="J303" s="1100"/>
      <c r="K303" s="1100"/>
      <c r="L303" s="1100"/>
      <c r="M303" s="1100"/>
      <c r="N303" s="1100"/>
      <c r="O303" s="1101"/>
      <c r="P303" s="294">
        <f>IF(T303=0,0,IF(Z296=2,AVERAGE(P293:P302),IF(OR(Z296=3,Z296=5),AVERAGE(P293:P298),IF(AND(P300="",P301="",P302=""),0,IF(OR(Z296=4,Z296=6,Z296=7),AVERAGE(P300:P302))))))</f>
        <v>0</v>
      </c>
      <c r="R303" s="557" t="s">
        <v>1554</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3">
      <c r="B304" s="1195"/>
      <c r="C304" s="1195"/>
      <c r="D304" s="1195"/>
      <c r="E304" s="1195"/>
      <c r="F304" s="1195"/>
      <c r="G304" s="1195"/>
      <c r="H304" s="1195"/>
      <c r="I304" s="1195"/>
      <c r="J304" s="1195"/>
      <c r="K304" s="1195"/>
      <c r="L304" s="1195"/>
      <c r="M304" s="1195"/>
      <c r="N304" s="1195"/>
      <c r="O304" s="1195"/>
      <c r="P304" s="1195"/>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2" customHeight="1" x14ac:dyDescent="0.3">
      <c r="B305" s="1195"/>
      <c r="C305" s="1195"/>
      <c r="D305" s="1195"/>
      <c r="E305" s="1195"/>
      <c r="F305" s="1195"/>
      <c r="G305" s="1195"/>
      <c r="H305" s="1195"/>
      <c r="I305" s="1195"/>
      <c r="J305" s="1195"/>
      <c r="K305" s="1195"/>
      <c r="L305" s="1195"/>
      <c r="M305" s="1195"/>
      <c r="N305" s="1195"/>
      <c r="O305" s="1195"/>
      <c r="P305" s="1195"/>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5" customHeight="1" x14ac:dyDescent="0.3">
      <c r="B306" s="1228"/>
      <c r="C306" s="1228"/>
      <c r="D306" s="1228"/>
      <c r="E306" s="1228"/>
      <c r="F306" s="1228"/>
      <c r="G306" s="1228"/>
      <c r="H306" s="1228"/>
      <c r="I306" s="1228"/>
      <c r="J306" s="1228"/>
      <c r="K306" s="1228"/>
      <c r="L306" s="1228"/>
      <c r="M306" s="1228"/>
      <c r="N306" s="1243" t="s">
        <v>1686</v>
      </c>
      <c r="O306" s="1243"/>
      <c r="P306" s="1243"/>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18" customHeight="1" x14ac:dyDescent="0.3">
      <c r="B307" s="833" t="s">
        <v>421</v>
      </c>
      <c r="C307" s="713"/>
      <c r="D307" s="713"/>
      <c r="E307" s="768"/>
      <c r="F307" s="768"/>
      <c r="G307" s="768"/>
      <c r="H307" s="768"/>
      <c r="I307" s="768"/>
      <c r="J307" s="768"/>
      <c r="K307" s="768"/>
      <c r="L307" s="768"/>
      <c r="M307" s="769"/>
      <c r="N307" s="390" t="s">
        <v>1688</v>
      </c>
      <c r="O307" s="390" t="s">
        <v>1689</v>
      </c>
      <c r="P307" s="390" t="s">
        <v>1690</v>
      </c>
      <c r="R307" s="129"/>
      <c r="S307" s="98"/>
      <c r="T307" s="593" t="s">
        <v>1688</v>
      </c>
      <c r="U307" s="593" t="s">
        <v>1596</v>
      </c>
      <c r="V307" s="593" t="s">
        <v>1691</v>
      </c>
      <c r="W307" s="593" t="s">
        <v>1692</v>
      </c>
      <c r="X307" s="593"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27" customHeight="1" x14ac:dyDescent="0.3">
      <c r="B308" s="453" t="s">
        <v>422</v>
      </c>
      <c r="C308" s="469"/>
      <c r="D308" s="454"/>
      <c r="E308" s="468"/>
      <c r="F308" s="1179" t="str">
        <f>IF(Z297=1,"","Tibial - overall loss at level shown; no averaging")</f>
        <v/>
      </c>
      <c r="G308" s="1179"/>
      <c r="H308" s="1179"/>
      <c r="I308" s="1179"/>
      <c r="J308" s="1179"/>
      <c r="K308" s="1179"/>
      <c r="L308" s="1179"/>
      <c r="M308" s="76">
        <f>IF(OR(F308="",S308=0),0,IF($Z$297=2,0.35,IF($Z$297=3,0.28,IF($Z$297=4,0.17,IF($Z$297=5,"See
below",IF(OR($Z$297=6,$Z$297=7),0.06,0))))))</f>
        <v>0</v>
      </c>
      <c r="N308" s="205"/>
      <c r="O308" s="205"/>
      <c r="P308" s="294" t="str">
        <f>IF(AND(S308=1,Z297=5),"",IF(X308=0,"",X308))</f>
        <v/>
      </c>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3">
      <c r="B309" s="467"/>
      <c r="C309" s="39"/>
      <c r="D309" s="470"/>
      <c r="E309" s="468"/>
      <c r="F309" s="1221" t="str">
        <f>IF(OR(S308=1,Z297=1,Z297=5,Z297=6,Z297=7),"","Gastrocnemius")</f>
        <v/>
      </c>
      <c r="G309" s="1221"/>
      <c r="H309" s="1221"/>
      <c r="I309" s="1221"/>
      <c r="J309" s="1221"/>
      <c r="K309" s="1221"/>
      <c r="L309" s="1221"/>
      <c r="M309" s="76">
        <f t="shared" ref="M309:M315" si="30">IF(OR(F309="",S309=0),0,IF($Z$297=2,0.35,IF($Z$297=3,0.28,IF($Z$297=4,0.17,0))))</f>
        <v>0</v>
      </c>
      <c r="N309" s="205"/>
      <c r="O309" s="205"/>
      <c r="P309" s="294" t="str">
        <f>IF(X309=0,"",X309)</f>
        <v/>
      </c>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3">
      <c r="B310" s="467"/>
      <c r="C310" s="39"/>
      <c r="D310" s="470"/>
      <c r="E310" s="468"/>
      <c r="F310" s="806" t="str">
        <f>IF(OR(S308=1,Z297=1,Z297=5,Z297=6,Z297=7),"","Plantaris")</f>
        <v/>
      </c>
      <c r="G310" s="806"/>
      <c r="H310" s="806"/>
      <c r="I310" s="806"/>
      <c r="J310" s="806"/>
      <c r="K310" s="806"/>
      <c r="L310" s="806"/>
      <c r="M310" s="76">
        <f t="shared" si="30"/>
        <v>0</v>
      </c>
      <c r="N310" s="205"/>
      <c r="O310" s="205"/>
      <c r="P310" s="294" t="str">
        <f t="shared" ref="P310:P317" si="33">IF(X310=0,"",X310)</f>
        <v/>
      </c>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3">
      <c r="B311" s="467"/>
      <c r="C311" s="39"/>
      <c r="D311" s="470"/>
      <c r="E311" s="468"/>
      <c r="F311" s="1221" t="str">
        <f>IF(OR(S308=1,Z297=1,Z297=5,Z297=6,Z297=7),"","Popliteus")</f>
        <v/>
      </c>
      <c r="G311" s="1221"/>
      <c r="H311" s="1221"/>
      <c r="I311" s="1221"/>
      <c r="J311" s="1221"/>
      <c r="K311" s="1221"/>
      <c r="L311" s="1221"/>
      <c r="M311" s="76">
        <f t="shared" si="30"/>
        <v>0</v>
      </c>
      <c r="N311" s="205"/>
      <c r="O311" s="205"/>
      <c r="P311" s="294" t="str">
        <f t="shared" si="33"/>
        <v/>
      </c>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3">
      <c r="B312" s="467"/>
      <c r="C312" s="39"/>
      <c r="D312" s="470"/>
      <c r="E312" s="468"/>
      <c r="F312" s="806" t="str">
        <f>IF(OR(S308=1,Z297=1,Z297=5,Z297=6,Z297=7),"","Soleus")</f>
        <v/>
      </c>
      <c r="G312" s="806"/>
      <c r="H312" s="806"/>
      <c r="I312" s="806"/>
      <c r="J312" s="806"/>
      <c r="K312" s="806"/>
      <c r="L312" s="806"/>
      <c r="M312" s="76">
        <f t="shared" si="30"/>
        <v>0</v>
      </c>
      <c r="N312" s="205"/>
      <c r="O312" s="205"/>
      <c r="P312" s="294" t="str">
        <f t="shared" si="33"/>
        <v/>
      </c>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3">
      <c r="B313" s="467"/>
      <c r="C313" s="39"/>
      <c r="D313" s="470"/>
      <c r="E313" s="468"/>
      <c r="F313" s="1221" t="str">
        <f>IF(OR(S308=1,Z297=1,Z297=5,Z297=6,Z297=7),"","Tibialis posterior")</f>
        <v/>
      </c>
      <c r="G313" s="1221"/>
      <c r="H313" s="1221"/>
      <c r="I313" s="1221"/>
      <c r="J313" s="1221"/>
      <c r="K313" s="1221"/>
      <c r="L313" s="1221"/>
      <c r="M313" s="76">
        <f t="shared" si="30"/>
        <v>0</v>
      </c>
      <c r="N313" s="205"/>
      <c r="O313" s="205"/>
      <c r="P313" s="294" t="str">
        <f t="shared" si="33"/>
        <v/>
      </c>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4"/>
      <c r="BF313" s="14"/>
      <c r="BG313" s="14"/>
      <c r="BH313" s="14"/>
      <c r="BI313" s="14"/>
      <c r="BJ313" s="14"/>
      <c r="BK313" s="14"/>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3">
      <c r="B314" s="467"/>
      <c r="C314" s="39"/>
      <c r="D314" s="470"/>
      <c r="E314" s="468"/>
      <c r="F314" s="806" t="str">
        <f>IF(OR(S308=1,Z297=1,Z297=5,Z297=6,Z297=7),"","Flexor digitorum longus")</f>
        <v/>
      </c>
      <c r="G314" s="806"/>
      <c r="H314" s="806"/>
      <c r="I314" s="806"/>
      <c r="J314" s="806"/>
      <c r="K314" s="806"/>
      <c r="L314" s="806"/>
      <c r="M314" s="76">
        <f t="shared" si="30"/>
        <v>0</v>
      </c>
      <c r="N314" s="205"/>
      <c r="O314" s="205"/>
      <c r="P314" s="294" t="str">
        <f t="shared" si="33"/>
        <v/>
      </c>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4"/>
      <c r="BM314" s="14"/>
      <c r="BN314" s="14"/>
      <c r="BO314" s="14"/>
      <c r="BP314" s="14"/>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3">
      <c r="B315" s="467"/>
      <c r="C315" s="39"/>
      <c r="D315" s="470"/>
      <c r="E315" s="468"/>
      <c r="F315" s="1221" t="str">
        <f>IF(OR(S308=1,Z297=1,Z297=5,Z297=6,Z297=7),"","Flexor hallucis longus")</f>
        <v/>
      </c>
      <c r="G315" s="1221"/>
      <c r="H315" s="1221"/>
      <c r="I315" s="1221"/>
      <c r="J315" s="1221"/>
      <c r="K315" s="1221"/>
      <c r="L315" s="1221"/>
      <c r="M315" s="76">
        <f t="shared" si="30"/>
        <v>0</v>
      </c>
      <c r="N315" s="205"/>
      <c r="O315" s="205"/>
      <c r="P315" s="294" t="str">
        <f t="shared" si="33"/>
        <v/>
      </c>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3">
      <c r="B316" s="467"/>
      <c r="C316" s="39"/>
      <c r="D316" s="470"/>
      <c r="E316" s="468"/>
      <c r="F316" s="1221" t="str">
        <f>IF(OR(Z297=1,Z297=7),"",IF(AND(Z297=6,S308=1),"",IF(AND(S308=1,Z297=5),"Lateral plantar branch",IF(S308=1,"","Abductor digiti minimi"))))</f>
        <v/>
      </c>
      <c r="G316" s="1221"/>
      <c r="H316" s="1221"/>
      <c r="I316" s="1221"/>
      <c r="J316" s="1221"/>
      <c r="K316" s="1221"/>
      <c r="L316" s="1221"/>
      <c r="M316" s="76">
        <f>IF(OR(F316="",S316=0),0,0.06)</f>
        <v>0</v>
      </c>
      <c r="N316" s="205"/>
      <c r="O316" s="205"/>
      <c r="P316" s="294" t="str">
        <f t="shared" si="33"/>
        <v/>
      </c>
      <c r="R316" s="555" t="b">
        <v>0</v>
      </c>
      <c r="S316" s="578">
        <f t="shared" si="26"/>
        <v>0</v>
      </c>
      <c r="T316" s="588">
        <f t="shared" si="27"/>
        <v>0</v>
      </c>
      <c r="U316" s="588">
        <f t="shared" si="28"/>
        <v>0</v>
      </c>
      <c r="V316" s="588">
        <f t="shared" si="31"/>
        <v>0</v>
      </c>
      <c r="W316" s="588">
        <f t="shared" si="32"/>
        <v>0</v>
      </c>
      <c r="X316" s="588">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3">
      <c r="B317" s="467"/>
      <c r="C317" s="39"/>
      <c r="D317" s="470"/>
      <c r="E317" s="468"/>
      <c r="F317" s="1221" t="str">
        <f>IF(OR(S308=1,Z297=1,Z297=7),"","Dorsal interossei")</f>
        <v/>
      </c>
      <c r="G317" s="1221"/>
      <c r="H317" s="1221"/>
      <c r="I317" s="1221"/>
      <c r="J317" s="1221"/>
      <c r="K317" s="1221"/>
      <c r="L317" s="1221"/>
      <c r="M317" s="76">
        <f>IF(OR(F317="",S317=0),0,0.06)</f>
        <v>0</v>
      </c>
      <c r="N317" s="205"/>
      <c r="O317" s="205"/>
      <c r="P317" s="294" t="str">
        <f t="shared" si="33"/>
        <v/>
      </c>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3">
      <c r="B318" s="467"/>
      <c r="C318" s="39"/>
      <c r="D318" s="470"/>
      <c r="E318" s="472"/>
      <c r="F318" s="1099" t="str">
        <f>IF(OR(Z297=5,Z297=6),"Total for lateral plantar branch of the tibial nerve:","")</f>
        <v/>
      </c>
      <c r="G318" s="1100"/>
      <c r="H318" s="1100"/>
      <c r="I318" s="1100"/>
      <c r="J318" s="1100"/>
      <c r="K318" s="1100"/>
      <c r="L318" s="1100"/>
      <c r="M318" s="1100"/>
      <c r="N318" s="1100"/>
      <c r="O318" s="1101"/>
      <c r="P318" s="294" t="str">
        <f>IF(AND(P316="",P317=""),"",IF(OR(Z297=5,Z297=6),AVERAGE(P316:P317),""))</f>
        <v/>
      </c>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5" customHeight="1" x14ac:dyDescent="0.3">
      <c r="B319" s="285"/>
      <c r="C319" s="183"/>
      <c r="D319" s="455"/>
      <c r="E319" s="468"/>
      <c r="F319" s="806" t="str">
        <f>IF(OR(Z297=1,Z297=6),"",IF(AND(Z297=7,S308=1),"",IF(AND(S308=1,Z297=5),"Medial plantar branch",IF(S308=1,"","Abductor hallucis"))))</f>
        <v/>
      </c>
      <c r="G319" s="806"/>
      <c r="H319" s="806"/>
      <c r="I319" s="806"/>
      <c r="J319" s="806"/>
      <c r="K319" s="806"/>
      <c r="L319" s="806"/>
      <c r="M319" s="76">
        <f>IF(OR(F319="",S319=0),0,0.06)</f>
        <v>0</v>
      </c>
      <c r="N319" s="205"/>
      <c r="O319" s="205"/>
      <c r="P319" s="294" t="str">
        <f>IF(X319=0,"",X319)</f>
        <v/>
      </c>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8" customHeight="1" x14ac:dyDescent="0.3">
      <c r="B320" s="1197" t="str">
        <f>IF(Z297=2,"Total for tibial nerve; LEG impairment:",IF(OR(Z297=3,Z297=4),"Total for tibial nerve; FOOT impairment:",IF(OR(Z297=5,Z297=7),"Total for medial plantar branch of the tibial nerve:","")))</f>
        <v/>
      </c>
      <c r="C320" s="1197"/>
      <c r="D320" s="1197"/>
      <c r="E320" s="959"/>
      <c r="F320" s="959"/>
      <c r="G320" s="959"/>
      <c r="H320" s="959"/>
      <c r="I320" s="959"/>
      <c r="J320" s="959"/>
      <c r="K320" s="959"/>
      <c r="L320" s="959"/>
      <c r="M320" s="959"/>
      <c r="N320" s="959"/>
      <c r="O320" s="959"/>
      <c r="P320" s="294">
        <f>IF(T320=0,0,IF(OR(Z297=1,Z297=6),0,IF(OR(Z297=5,Z297=7),AVERAGE(P319,P308),IF(OR(Z297=2,Z297=3,Z297=4),AVERAGE(P308:P319)))))</f>
        <v>0</v>
      </c>
      <c r="R320" s="50" t="s">
        <v>1719</v>
      </c>
      <c r="S320" s="578">
        <f>SUM(S308:S319)</f>
        <v>0</v>
      </c>
      <c r="T320" s="588">
        <f>SUM(P308:P319)</f>
        <v>0</v>
      </c>
      <c r="U320" s="588"/>
      <c r="V320" s="553"/>
      <c r="W320" s="553"/>
      <c r="X320" s="553"/>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3">
      <c r="B321" s="764" t="s">
        <v>423</v>
      </c>
      <c r="C321" s="765"/>
      <c r="D321" s="766"/>
      <c r="E321" s="476"/>
      <c r="F321" s="791" t="s">
        <v>985</v>
      </c>
      <c r="G321" s="791"/>
      <c r="H321" s="791"/>
      <c r="I321" s="791"/>
      <c r="J321" s="791"/>
      <c r="K321" s="791"/>
      <c r="L321" s="791"/>
      <c r="M321" s="79">
        <f t="shared" ref="M321:M327" si="34">IF(OR(F321="",S321=0),0,0.3)</f>
        <v>0</v>
      </c>
      <c r="N321" s="399"/>
      <c r="O321" s="399"/>
      <c r="P321" s="301" t="str">
        <f>IF(X321=0,"",X321)</f>
        <v/>
      </c>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3">
      <c r="B322" s="833"/>
      <c r="C322" s="713"/>
      <c r="D322" s="834"/>
      <c r="E322" s="466"/>
      <c r="F322" s="806" t="str">
        <f>IF(S321=1,"","Pectineus")</f>
        <v>Pectineus</v>
      </c>
      <c r="G322" s="806"/>
      <c r="H322" s="806"/>
      <c r="I322" s="806"/>
      <c r="J322" s="806"/>
      <c r="K322" s="806"/>
      <c r="L322" s="806"/>
      <c r="M322" s="80">
        <f t="shared" si="34"/>
        <v>0</v>
      </c>
      <c r="N322" s="205"/>
      <c r="O322" s="205"/>
      <c r="P322" s="301" t="str">
        <f t="shared" ref="P322:P327" si="41">IF(X322=0,"",X322)</f>
        <v/>
      </c>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3">
      <c r="B323" s="1354"/>
      <c r="C323" s="1195"/>
      <c r="D323" s="1355"/>
      <c r="E323" s="466"/>
      <c r="F323" s="806" t="str">
        <f>IF(S321=1,"","Sartorius")</f>
        <v>Sartorius</v>
      </c>
      <c r="G323" s="806"/>
      <c r="H323" s="806"/>
      <c r="I323" s="806"/>
      <c r="J323" s="806"/>
      <c r="K323" s="806"/>
      <c r="L323" s="806"/>
      <c r="M323" s="80">
        <f t="shared" si="34"/>
        <v>0</v>
      </c>
      <c r="N323" s="205"/>
      <c r="O323" s="205"/>
      <c r="P323" s="301" t="str">
        <f t="shared" si="41"/>
        <v/>
      </c>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3">
      <c r="B324" s="1354"/>
      <c r="C324" s="1195"/>
      <c r="D324" s="1355"/>
      <c r="E324" s="466"/>
      <c r="F324" s="806" t="str">
        <f>IF(S321=1,"","Rectus femoris")</f>
        <v>Rectus femoris</v>
      </c>
      <c r="G324" s="806"/>
      <c r="H324" s="806"/>
      <c r="I324" s="806"/>
      <c r="J324" s="806"/>
      <c r="K324" s="806"/>
      <c r="L324" s="806"/>
      <c r="M324" s="80">
        <f t="shared" si="34"/>
        <v>0</v>
      </c>
      <c r="N324" s="205"/>
      <c r="O324" s="205"/>
      <c r="P324" s="301" t="str">
        <f t="shared" si="41"/>
        <v/>
      </c>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3">
      <c r="B325" s="1354"/>
      <c r="C325" s="1195"/>
      <c r="D325" s="1355"/>
      <c r="E325" s="466"/>
      <c r="F325" s="806" t="str">
        <f>IF(S321=1,"","Vastus lateralis")</f>
        <v>Vastus lateralis</v>
      </c>
      <c r="G325" s="806"/>
      <c r="H325" s="806"/>
      <c r="I325" s="806"/>
      <c r="J325" s="806"/>
      <c r="K325" s="806"/>
      <c r="L325" s="806"/>
      <c r="M325" s="80">
        <f t="shared" si="34"/>
        <v>0</v>
      </c>
      <c r="N325" s="205"/>
      <c r="O325" s="205"/>
      <c r="P325" s="301" t="str">
        <f t="shared" si="41"/>
        <v/>
      </c>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3">
      <c r="B326" s="1354"/>
      <c r="C326" s="1195"/>
      <c r="D326" s="1355"/>
      <c r="E326" s="466"/>
      <c r="F326" s="806" t="str">
        <f>IF(S321=1,"","Vastus intermedius")</f>
        <v>Vastus intermedius</v>
      </c>
      <c r="G326" s="806"/>
      <c r="H326" s="806"/>
      <c r="I326" s="806"/>
      <c r="J326" s="806"/>
      <c r="K326" s="806"/>
      <c r="L326" s="806"/>
      <c r="M326" s="80">
        <f t="shared" si="34"/>
        <v>0</v>
      </c>
      <c r="N326" s="205"/>
      <c r="O326" s="205"/>
      <c r="P326" s="301" t="str">
        <f t="shared" si="41"/>
        <v/>
      </c>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5" customHeight="1" x14ac:dyDescent="0.3">
      <c r="B327" s="1356"/>
      <c r="C327" s="1357"/>
      <c r="D327" s="1358"/>
      <c r="E327" s="466"/>
      <c r="F327" s="806" t="str">
        <f>IF(S321=1,"","Vastus medialis")</f>
        <v>Vastus medialis</v>
      </c>
      <c r="G327" s="806"/>
      <c r="H327" s="806"/>
      <c r="I327" s="806"/>
      <c r="J327" s="806"/>
      <c r="K327" s="806"/>
      <c r="L327" s="806"/>
      <c r="M327" s="80">
        <f t="shared" si="34"/>
        <v>0</v>
      </c>
      <c r="N327" s="205"/>
      <c r="O327" s="205"/>
      <c r="P327" s="301" t="str">
        <f t="shared" si="41"/>
        <v/>
      </c>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18" customHeight="1" x14ac:dyDescent="0.3">
      <c r="B328" s="1061" t="str">
        <f>IF(SUM(M321:M327)=0,"","Total for femoral nerve; LEG impairment:")</f>
        <v/>
      </c>
      <c r="C328" s="1061"/>
      <c r="D328" s="1061"/>
      <c r="E328" s="959"/>
      <c r="F328" s="959"/>
      <c r="G328" s="959"/>
      <c r="H328" s="959"/>
      <c r="I328" s="959"/>
      <c r="J328" s="959"/>
      <c r="K328" s="959"/>
      <c r="L328" s="959"/>
      <c r="M328" s="959"/>
      <c r="N328" s="959"/>
      <c r="O328" s="959"/>
      <c r="P328" s="191">
        <f>IF(AND(P321="",P322="",P323="",P324="",P325="",P326="",P327=""),0,AVERAGE(P321:P327))</f>
        <v>0</v>
      </c>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27" customHeight="1" x14ac:dyDescent="0.3">
      <c r="B329" s="1127" t="s">
        <v>986</v>
      </c>
      <c r="C329" s="1127"/>
      <c r="D329" s="1127"/>
      <c r="E329" s="400"/>
      <c r="F329" s="1127" t="s">
        <v>517</v>
      </c>
      <c r="G329" s="1127"/>
      <c r="H329" s="1127"/>
      <c r="I329" s="1127"/>
      <c r="J329" s="1127"/>
      <c r="K329" s="1127"/>
      <c r="L329" s="1127"/>
      <c r="M329" s="79">
        <f>IF(OR(F329="",S329=0),0,0.1)</f>
        <v>0</v>
      </c>
      <c r="N329" s="399"/>
      <c r="O329" s="399"/>
      <c r="P329" s="301">
        <f>IF(X329=0,0,X329)</f>
        <v>0</v>
      </c>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39" customHeight="1" x14ac:dyDescent="0.3">
      <c r="B330" s="950" t="s">
        <v>815</v>
      </c>
      <c r="C330" s="950"/>
      <c r="D330" s="950"/>
      <c r="E330" s="374"/>
      <c r="F330" s="776" t="s">
        <v>518</v>
      </c>
      <c r="G330" s="776"/>
      <c r="H330" s="776"/>
      <c r="I330" s="776"/>
      <c r="J330" s="776"/>
      <c r="K330" s="776"/>
      <c r="L330" s="776"/>
      <c r="M330" s="80">
        <f>IF(OR(F330="",S330=0),0,0.1)</f>
        <v>0</v>
      </c>
      <c r="N330" s="205"/>
      <c r="O330" s="205"/>
      <c r="P330" s="294">
        <f>IF(X330=0,0,X330)</f>
        <v>0</v>
      </c>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3">
      <c r="B331" s="764" t="s">
        <v>519</v>
      </c>
      <c r="C331" s="765"/>
      <c r="D331" s="766"/>
      <c r="E331" s="476"/>
      <c r="F331" s="791" t="s">
        <v>985</v>
      </c>
      <c r="G331" s="791"/>
      <c r="H331" s="791"/>
      <c r="I331" s="791"/>
      <c r="J331" s="791"/>
      <c r="K331" s="791"/>
      <c r="L331" s="791"/>
      <c r="M331" s="79">
        <f>IF(OR(F331="",S331=0),0,0.2)</f>
        <v>0</v>
      </c>
      <c r="N331" s="205"/>
      <c r="O331" s="205"/>
      <c r="P331" s="301" t="str">
        <f>IF(X331=0,"",X331)</f>
        <v/>
      </c>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3">
      <c r="B332" s="1354"/>
      <c r="C332" s="1195"/>
      <c r="D332" s="1355"/>
      <c r="E332" s="466"/>
      <c r="F332" s="806" t="str">
        <f>IF(S331=1,"","Gluteus medius")</f>
        <v>Gluteus medius</v>
      </c>
      <c r="G332" s="806"/>
      <c r="H332" s="806"/>
      <c r="I332" s="806"/>
      <c r="J332" s="806"/>
      <c r="K332" s="806"/>
      <c r="L332" s="806"/>
      <c r="M332" s="80">
        <f>IF(OR(F332="",S332=0),0,0.2)</f>
        <v>0</v>
      </c>
      <c r="N332" s="205"/>
      <c r="O332" s="205"/>
      <c r="P332" s="301" t="str">
        <f>IF(X332=0,"",X332)</f>
        <v/>
      </c>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3">
      <c r="B333" s="1354"/>
      <c r="C333" s="1195"/>
      <c r="D333" s="1355"/>
      <c r="E333" s="466"/>
      <c r="F333" s="806" t="str">
        <f>IF(S331=1,"","Gluteus minimus")</f>
        <v>Gluteus minimus</v>
      </c>
      <c r="G333" s="806"/>
      <c r="H333" s="806"/>
      <c r="I333" s="806"/>
      <c r="J333" s="806"/>
      <c r="K333" s="806"/>
      <c r="L333" s="806"/>
      <c r="M333" s="80">
        <f>IF(OR(F333="",S333=0),0,0.2)</f>
        <v>0</v>
      </c>
      <c r="N333" s="205"/>
      <c r="O333" s="205"/>
      <c r="P333" s="301" t="str">
        <f>IF(X333=0,"",X333)</f>
        <v/>
      </c>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5" customHeight="1" x14ac:dyDescent="0.3">
      <c r="B334" s="1356"/>
      <c r="C334" s="1357"/>
      <c r="D334" s="1358"/>
      <c r="E334" s="466"/>
      <c r="F334" s="806" t="str">
        <f>IF(S331=1,"","Tensor fasciae latae")</f>
        <v>Tensor fasciae latae</v>
      </c>
      <c r="G334" s="806"/>
      <c r="H334" s="806"/>
      <c r="I334" s="806"/>
      <c r="J334" s="806"/>
      <c r="K334" s="806"/>
      <c r="L334" s="806"/>
      <c r="M334" s="80">
        <f>IF(OR(F334="",S334=0),0,0.2)</f>
        <v>0</v>
      </c>
      <c r="N334" s="205"/>
      <c r="O334" s="205"/>
      <c r="P334" s="301" t="str">
        <f>IF(X334=0,"",X334)</f>
        <v/>
      </c>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8" customHeight="1" x14ac:dyDescent="0.3">
      <c r="B335" s="1061" t="str">
        <f>IF(SUM(M331:M334)=0,"","Total for superior gluteal; LEG impairment:")</f>
        <v/>
      </c>
      <c r="C335" s="1061"/>
      <c r="D335" s="1061"/>
      <c r="E335" s="959"/>
      <c r="F335" s="959"/>
      <c r="G335" s="959"/>
      <c r="H335" s="959"/>
      <c r="I335" s="959"/>
      <c r="J335" s="959"/>
      <c r="K335" s="959"/>
      <c r="L335" s="959"/>
      <c r="M335" s="959"/>
      <c r="N335" s="959"/>
      <c r="O335" s="959"/>
      <c r="P335" s="191">
        <f>IF(AND(P331="",P332="",P333="",P334=""),0,AVERAGE(P331:P334))</f>
        <v>0</v>
      </c>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5" customHeight="1" x14ac:dyDescent="0.3">
      <c r="B336" s="776" t="s">
        <v>520</v>
      </c>
      <c r="C336" s="776"/>
      <c r="D336" s="776"/>
      <c r="E336" s="374"/>
      <c r="F336" s="806" t="s">
        <v>521</v>
      </c>
      <c r="G336" s="806"/>
      <c r="H336" s="806"/>
      <c r="I336" s="806"/>
      <c r="J336" s="806"/>
      <c r="K336" s="806"/>
      <c r="L336" s="806"/>
      <c r="M336" s="80">
        <f>IF(OR(F336="",S336=0),0,0.25)</f>
        <v>0</v>
      </c>
      <c r="N336" s="205"/>
      <c r="O336" s="205"/>
      <c r="P336" s="294">
        <f>IF(X336=0,0,X336)</f>
        <v>0</v>
      </c>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3">
      <c r="B337" s="959" t="s">
        <v>585</v>
      </c>
      <c r="C337" s="959"/>
      <c r="D337" s="959"/>
      <c r="E337" s="959"/>
      <c r="F337" s="959"/>
      <c r="G337" s="959"/>
      <c r="H337" s="959"/>
      <c r="I337" s="959"/>
      <c r="J337" s="959"/>
      <c r="K337" s="959"/>
      <c r="L337" s="959"/>
      <c r="M337" s="959"/>
      <c r="N337" s="959"/>
      <c r="O337" s="959"/>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8" customHeight="1" x14ac:dyDescent="0.3">
      <c r="B338" s="959" t="s">
        <v>859</v>
      </c>
      <c r="C338" s="959"/>
      <c r="D338" s="959"/>
      <c r="E338" s="959"/>
      <c r="F338" s="959"/>
      <c r="G338" s="959"/>
      <c r="H338" s="959"/>
      <c r="I338" s="959"/>
      <c r="J338" s="959"/>
      <c r="K338" s="959"/>
      <c r="L338" s="959"/>
      <c r="M338" s="959"/>
      <c r="N338" s="959"/>
      <c r="O338" s="959"/>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3">
      <c r="B339" s="792"/>
      <c r="C339" s="792"/>
      <c r="D339" s="792"/>
      <c r="E339" s="792"/>
      <c r="F339" s="792"/>
      <c r="G339" s="792"/>
      <c r="H339" s="792"/>
      <c r="I339" s="792"/>
      <c r="J339" s="792"/>
      <c r="K339" s="792"/>
      <c r="L339" s="792"/>
      <c r="M339" s="792"/>
      <c r="N339" s="792"/>
      <c r="O339" s="792"/>
      <c r="P339" s="792"/>
      <c r="Q339" s="1"/>
      <c r="R339" s="10"/>
      <c r="S339" s="10"/>
      <c r="T339" s="10"/>
      <c r="U339" s="10"/>
      <c r="V339" s="10"/>
      <c r="W339" s="10"/>
      <c r="X339" s="10"/>
      <c r="Y339" s="18" t="s">
        <v>1004</v>
      </c>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12" customHeight="1" x14ac:dyDescent="0.3">
      <c r="B340" s="792"/>
      <c r="C340" s="792"/>
      <c r="D340" s="792"/>
      <c r="E340" s="792"/>
      <c r="F340" s="792"/>
      <c r="G340" s="792"/>
      <c r="H340" s="792"/>
      <c r="I340" s="792"/>
      <c r="J340" s="792"/>
      <c r="K340" s="792"/>
      <c r="L340" s="792"/>
      <c r="M340" s="792"/>
      <c r="N340" s="792"/>
      <c r="O340" s="792"/>
      <c r="P340" s="792"/>
      <c r="Q340" s="1"/>
      <c r="R340" s="10"/>
      <c r="S340" s="10"/>
      <c r="T340" s="10"/>
      <c r="U340" s="10"/>
      <c r="V340" s="10"/>
      <c r="W340" s="10"/>
      <c r="X340" s="10"/>
      <c r="Y340" s="18">
        <f>Y342+Y341</f>
        <v>0</v>
      </c>
      <c r="Z340" s="10" t="s">
        <v>1910</v>
      </c>
      <c r="AA340" s="10"/>
      <c r="AB340" s="6"/>
      <c r="AC340" s="6"/>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30" customHeight="1" x14ac:dyDescent="0.3">
      <c r="B341" s="1030" t="s">
        <v>819</v>
      </c>
      <c r="C341" s="1031"/>
      <c r="D341" s="1031"/>
      <c r="E341" s="1031"/>
      <c r="F341" s="1032"/>
      <c r="G341" s="922" t="s">
        <v>1524</v>
      </c>
      <c r="H341" s="941"/>
      <c r="I341" s="941"/>
      <c r="J341" s="941"/>
      <c r="K341" s="942"/>
      <c r="L341" s="1003"/>
      <c r="M341" s="1004"/>
      <c r="N341" s="1004"/>
      <c r="O341" s="1005"/>
      <c r="P341" s="872">
        <f>IF(J368&gt;0,J368,V366)</f>
        <v>0</v>
      </c>
      <c r="R341" s="10"/>
      <c r="S341" s="146" t="s">
        <v>1864</v>
      </c>
      <c r="T341" s="50" t="s">
        <v>1304</v>
      </c>
      <c r="U341" s="50" t="s">
        <v>1305</v>
      </c>
      <c r="V341" s="50" t="s">
        <v>1306</v>
      </c>
      <c r="W341" s="50" t="s">
        <v>860</v>
      </c>
      <c r="X341" s="10"/>
      <c r="Y341" s="18">
        <f>IF(OR(E342&gt;0,E343&gt;0,E344&gt;0,E345&gt;0,E346&gt;0,E347&gt;0,E348&gt;0,E349&gt;0,E350&gt;0,E351&gt;0,E352&gt;0,E359&gt;0,E360&gt;0,E361&gt;0),1,0)</f>
        <v>0</v>
      </c>
      <c r="Z341" s="2" t="s">
        <v>1801</v>
      </c>
      <c r="AA341" s="10"/>
      <c r="AB341" s="6"/>
      <c r="AC341" s="6"/>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3">
      <c r="B342" s="757" t="s">
        <v>861</v>
      </c>
      <c r="C342" s="758"/>
      <c r="D342" s="759"/>
      <c r="E342" s="742">
        <f t="shared" ref="E342:E347" si="48">P207</f>
        <v>0</v>
      </c>
      <c r="F342" s="744"/>
      <c r="G342" s="940" t="s">
        <v>1941</v>
      </c>
      <c r="H342" s="941"/>
      <c r="I342" s="942"/>
      <c r="J342" s="1192"/>
      <c r="K342" s="1349"/>
      <c r="L342" s="1003"/>
      <c r="M342" s="1004"/>
      <c r="N342" s="1004"/>
      <c r="O342" s="1005"/>
      <c r="P342" s="1091"/>
      <c r="R342" s="10"/>
      <c r="S342" s="557">
        <f>E342</f>
        <v>0</v>
      </c>
      <c r="T342" s="147">
        <f>LARGE($S$342:$S$367,1)</f>
        <v>0</v>
      </c>
      <c r="U342" s="553">
        <f>T342+T343*(1-T342)</f>
        <v>0</v>
      </c>
      <c r="V342" s="557">
        <f>ROUND(U342,2)</f>
        <v>0</v>
      </c>
      <c r="W342" s="50">
        <f>IF(OR(P215&gt;0,P216&gt;0,P217&gt;0,P218&gt;0,P219&gt;0,P234&gt;0),1,0)</f>
        <v>0</v>
      </c>
      <c r="X342" s="10"/>
      <c r="Y342" s="18">
        <f>IF(P427&gt;0,0,IF(OR(AC223&gt;0,AC229&gt;0),1,0))</f>
        <v>0</v>
      </c>
      <c r="Z342" s="2" t="s">
        <v>1800</v>
      </c>
      <c r="AA342" s="10"/>
      <c r="AB342" s="6"/>
      <c r="AC342" s="6"/>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3">
      <c r="B343" s="146" t="s">
        <v>1894</v>
      </c>
      <c r="C343" s="146"/>
      <c r="D343" s="146"/>
      <c r="E343" s="742">
        <f t="shared" si="48"/>
        <v>0</v>
      </c>
      <c r="F343" s="744"/>
      <c r="G343" s="940" t="s">
        <v>1941</v>
      </c>
      <c r="H343" s="941"/>
      <c r="I343" s="942"/>
      <c r="J343" s="1192"/>
      <c r="K343" s="1349"/>
      <c r="L343" s="1006"/>
      <c r="M343" s="1007"/>
      <c r="N343" s="1007"/>
      <c r="O343" s="1008"/>
      <c r="P343" s="1091"/>
      <c r="R343" s="10"/>
      <c r="S343" s="557">
        <f t="shared" ref="S343:S352" si="49">E343</f>
        <v>0</v>
      </c>
      <c r="T343" s="147">
        <f>LARGE($S$342:$S$367,2)</f>
        <v>0</v>
      </c>
      <c r="U343" s="553">
        <f>V342+T344*(1-V342)</f>
        <v>0</v>
      </c>
      <c r="V343" s="557">
        <f>ROUND(U343,2)</f>
        <v>0</v>
      </c>
      <c r="W343" s="50" t="s">
        <v>1898</v>
      </c>
      <c r="X343" s="10"/>
      <c r="Y343" s="10"/>
      <c r="Z343" s="10"/>
      <c r="AA343" s="10"/>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3">
      <c r="B344" s="146" t="s">
        <v>1896</v>
      </c>
      <c r="C344" s="146"/>
      <c r="D344" s="146"/>
      <c r="E344" s="742">
        <f t="shared" si="48"/>
        <v>0</v>
      </c>
      <c r="F344" s="744"/>
      <c r="G344" s="940" t="s">
        <v>1941</v>
      </c>
      <c r="H344" s="941"/>
      <c r="I344" s="942"/>
      <c r="J344" s="1192"/>
      <c r="K344" s="1349"/>
      <c r="L344" s="1006"/>
      <c r="M344" s="1007"/>
      <c r="N344" s="1007"/>
      <c r="O344" s="1008"/>
      <c r="P344" s="1091"/>
      <c r="R344" s="10"/>
      <c r="S344" s="557">
        <f t="shared" si="49"/>
        <v>0</v>
      </c>
      <c r="T344" s="147">
        <f>LARGE($S$342:$S$367,3)</f>
        <v>0</v>
      </c>
      <c r="U344" s="553">
        <f t="shared" ref="U344:U366" si="50">V343+T345*(1-V343)</f>
        <v>0</v>
      </c>
      <c r="V344" s="557">
        <f t="shared" ref="V344:V366" si="51">ROUND(U344,2)</f>
        <v>0</v>
      </c>
      <c r="W344" s="50">
        <f>IF(P337&gt;0,5,0)</f>
        <v>0</v>
      </c>
      <c r="X344" s="10"/>
      <c r="AB344" s="6"/>
      <c r="AC344" s="6"/>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3">
      <c r="B345" s="146" t="s">
        <v>1897</v>
      </c>
      <c r="C345" s="146"/>
      <c r="D345" s="146"/>
      <c r="E345" s="742">
        <f t="shared" si="48"/>
        <v>0</v>
      </c>
      <c r="F345" s="744"/>
      <c r="G345" s="940" t="s">
        <v>1941</v>
      </c>
      <c r="H345" s="941"/>
      <c r="I345" s="942"/>
      <c r="J345" s="1192"/>
      <c r="K345" s="1349"/>
      <c r="L345" s="1006"/>
      <c r="M345" s="1007"/>
      <c r="N345" s="1007"/>
      <c r="O345" s="1008"/>
      <c r="P345" s="1091"/>
      <c r="R345" s="10"/>
      <c r="S345" s="557">
        <f t="shared" si="49"/>
        <v>0</v>
      </c>
      <c r="T345" s="147">
        <f>LARGE($S$342:$S$367,4)</f>
        <v>0</v>
      </c>
      <c r="U345" s="553">
        <f t="shared" si="50"/>
        <v>0</v>
      </c>
      <c r="V345" s="557">
        <f t="shared" si="51"/>
        <v>0</v>
      </c>
      <c r="W345" s="146" t="s">
        <v>596</v>
      </c>
      <c r="X345" s="10"/>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3">
      <c r="B346" s="146" t="s">
        <v>1899</v>
      </c>
      <c r="C346" s="146"/>
      <c r="D346" s="146"/>
      <c r="E346" s="742">
        <f t="shared" si="48"/>
        <v>0</v>
      </c>
      <c r="F346" s="744"/>
      <c r="G346" s="940" t="s">
        <v>1941</v>
      </c>
      <c r="H346" s="941"/>
      <c r="I346" s="942"/>
      <c r="J346" s="1192"/>
      <c r="K346" s="1349"/>
      <c r="L346" s="1112"/>
      <c r="M346" s="1113"/>
      <c r="N346" s="1113"/>
      <c r="O346" s="1114"/>
      <c r="P346" s="1091"/>
      <c r="R346" s="10"/>
      <c r="S346" s="557">
        <f t="shared" si="49"/>
        <v>0</v>
      </c>
      <c r="T346" s="147">
        <f>LARGE($S$342:$S$367,5)</f>
        <v>0</v>
      </c>
      <c r="U346" s="553">
        <f t="shared" si="50"/>
        <v>0</v>
      </c>
      <c r="V346" s="557">
        <f t="shared" si="51"/>
        <v>0</v>
      </c>
      <c r="W346" s="50">
        <f>IF(P267&gt;0,1,0)</f>
        <v>0</v>
      </c>
      <c r="X346" s="10"/>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3">
      <c r="B347" s="146" t="s">
        <v>1900</v>
      </c>
      <c r="C347" s="146"/>
      <c r="D347" s="146"/>
      <c r="E347" s="742">
        <f t="shared" si="48"/>
        <v>0</v>
      </c>
      <c r="F347" s="744"/>
      <c r="G347" s="940" t="s">
        <v>1941</v>
      </c>
      <c r="H347" s="941"/>
      <c r="I347" s="942"/>
      <c r="J347" s="1192"/>
      <c r="K347" s="1349"/>
      <c r="L347" s="1006"/>
      <c r="M347" s="1007"/>
      <c r="N347" s="1007"/>
      <c r="O347" s="1008"/>
      <c r="P347" s="1091"/>
      <c r="R347" s="10"/>
      <c r="S347" s="557">
        <f t="shared" si="49"/>
        <v>0</v>
      </c>
      <c r="T347" s="147">
        <f>LARGE($S$342:$S$367,6)</f>
        <v>0</v>
      </c>
      <c r="U347" s="553">
        <f t="shared" si="50"/>
        <v>0</v>
      </c>
      <c r="V347" s="557">
        <f t="shared" si="51"/>
        <v>0</v>
      </c>
      <c r="W347" s="50" t="s">
        <v>1901</v>
      </c>
      <c r="X347" s="10"/>
      <c r="AB347" s="6"/>
      <c r="AC347" s="6"/>
      <c r="AD347" s="6"/>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3">
      <c r="B348" s="1184" t="s">
        <v>1902</v>
      </c>
      <c r="C348" s="1185"/>
      <c r="D348" s="1186"/>
      <c r="E348" s="742">
        <f>IF(P427&gt;0,0,P215)</f>
        <v>0</v>
      </c>
      <c r="F348" s="744"/>
      <c r="G348" s="940" t="s">
        <v>1941</v>
      </c>
      <c r="H348" s="941"/>
      <c r="I348" s="942"/>
      <c r="J348" s="1192"/>
      <c r="K348" s="1349"/>
      <c r="L348" s="1006"/>
      <c r="M348" s="1007"/>
      <c r="N348" s="1007"/>
      <c r="O348" s="1008"/>
      <c r="P348" s="1091"/>
      <c r="R348" s="10"/>
      <c r="S348" s="557">
        <f t="shared" si="49"/>
        <v>0</v>
      </c>
      <c r="T348" s="147">
        <f>LARGE($S$342:$S$367,7)</f>
        <v>0</v>
      </c>
      <c r="U348" s="553">
        <f t="shared" si="50"/>
        <v>0</v>
      </c>
      <c r="V348" s="557">
        <f t="shared" si="51"/>
        <v>0</v>
      </c>
      <c r="W348" s="50">
        <f>SUM(W342,W344,W346)</f>
        <v>0</v>
      </c>
      <c r="X348" s="10"/>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3">
      <c r="B349" s="1184" t="s">
        <v>1439</v>
      </c>
      <c r="C349" s="1185"/>
      <c r="D349" s="1186"/>
      <c r="E349" s="742">
        <f>IF(P427&gt;0,0,P216)</f>
        <v>0</v>
      </c>
      <c r="F349" s="744"/>
      <c r="G349" s="940" t="s">
        <v>1941</v>
      </c>
      <c r="H349" s="941"/>
      <c r="I349" s="942"/>
      <c r="J349" s="1192"/>
      <c r="K349" s="1349"/>
      <c r="L349" s="1006"/>
      <c r="M349" s="1007"/>
      <c r="N349" s="1007"/>
      <c r="O349" s="1008"/>
      <c r="P349" s="1091"/>
      <c r="R349" s="10"/>
      <c r="S349" s="557">
        <f t="shared" si="49"/>
        <v>0</v>
      </c>
      <c r="T349" s="147">
        <f>LARGE($S$342:$S$367,8)</f>
        <v>0</v>
      </c>
      <c r="U349" s="553">
        <f t="shared" si="50"/>
        <v>0</v>
      </c>
      <c r="V349" s="557">
        <f t="shared" si="51"/>
        <v>0</v>
      </c>
      <c r="W349" s="10"/>
      <c r="X349" s="10"/>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3">
      <c r="B350" s="1184" t="s">
        <v>1440</v>
      </c>
      <c r="C350" s="1185"/>
      <c r="D350" s="1186"/>
      <c r="E350" s="742">
        <f>IF(P427&gt;0,0,P217)</f>
        <v>0</v>
      </c>
      <c r="F350" s="744"/>
      <c r="G350" s="940" t="s">
        <v>1941</v>
      </c>
      <c r="H350" s="941"/>
      <c r="I350" s="942"/>
      <c r="J350" s="1192"/>
      <c r="K350" s="1349"/>
      <c r="L350" s="1006"/>
      <c r="M350" s="1007"/>
      <c r="N350" s="1007"/>
      <c r="O350" s="1008"/>
      <c r="P350" s="1091"/>
      <c r="R350" s="10"/>
      <c r="S350" s="557">
        <f t="shared" si="49"/>
        <v>0</v>
      </c>
      <c r="T350" s="147">
        <f>LARGE($S$342:$S$367,9)</f>
        <v>0</v>
      </c>
      <c r="U350" s="553">
        <f t="shared" si="50"/>
        <v>0</v>
      </c>
      <c r="V350" s="557">
        <f t="shared" si="51"/>
        <v>0</v>
      </c>
      <c r="W350" s="10"/>
      <c r="X350" s="10"/>
      <c r="AB350" s="6"/>
      <c r="AC350" s="6"/>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3">
      <c r="B351" s="1184" t="s">
        <v>1442</v>
      </c>
      <c r="C351" s="1185"/>
      <c r="D351" s="1186"/>
      <c r="E351" s="742">
        <f>IF(P427&gt;0,0,P218)</f>
        <v>0</v>
      </c>
      <c r="F351" s="744"/>
      <c r="G351" s="940" t="s">
        <v>1941</v>
      </c>
      <c r="H351" s="941"/>
      <c r="I351" s="942"/>
      <c r="J351" s="1192"/>
      <c r="K351" s="1349"/>
      <c r="L351" s="1006"/>
      <c r="M351" s="1007"/>
      <c r="N351" s="1007"/>
      <c r="O351" s="1008"/>
      <c r="P351" s="1091"/>
      <c r="R351" s="10"/>
      <c r="S351" s="557">
        <f t="shared" si="49"/>
        <v>0</v>
      </c>
      <c r="T351" s="147">
        <f>LARGE($S$342:$S$367,10)</f>
        <v>0</v>
      </c>
      <c r="U351" s="553">
        <f t="shared" si="50"/>
        <v>0</v>
      </c>
      <c r="V351" s="557">
        <f t="shared" si="51"/>
        <v>0</v>
      </c>
      <c r="W351" s="10"/>
      <c r="X351" s="10"/>
      <c r="Y351" s="10"/>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3">
      <c r="B352" s="1184" t="s">
        <v>101</v>
      </c>
      <c r="C352" s="1185"/>
      <c r="D352" s="1186"/>
      <c r="E352" s="742">
        <f>IF(P427&gt;0,0,P219)</f>
        <v>0</v>
      </c>
      <c r="F352" s="744"/>
      <c r="G352" s="940" t="s">
        <v>1941</v>
      </c>
      <c r="H352" s="941"/>
      <c r="I352" s="942"/>
      <c r="J352" s="1192"/>
      <c r="K352" s="1349"/>
      <c r="L352" s="1006"/>
      <c r="M352" s="1007"/>
      <c r="N352" s="1007"/>
      <c r="O352" s="1008"/>
      <c r="P352" s="1091"/>
      <c r="R352" s="10"/>
      <c r="S352" s="557">
        <f t="shared" si="49"/>
        <v>0</v>
      </c>
      <c r="T352" s="147">
        <f>LARGE($S$342:$S$367,11)</f>
        <v>0</v>
      </c>
      <c r="U352" s="553">
        <f t="shared" si="50"/>
        <v>0</v>
      </c>
      <c r="V352" s="557">
        <f t="shared" si="51"/>
        <v>0</v>
      </c>
      <c r="W352" s="10"/>
      <c r="X352" s="10"/>
      <c r="Y352" s="10"/>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3">
      <c r="B353" s="1184" t="s">
        <v>1107</v>
      </c>
      <c r="C353" s="1185"/>
      <c r="D353" s="1186"/>
      <c r="E353" s="742">
        <f>IF(P427&gt;0,0,P234)</f>
        <v>0</v>
      </c>
      <c r="F353" s="744"/>
      <c r="G353" s="1115" t="s">
        <v>2256</v>
      </c>
      <c r="H353" s="1177"/>
      <c r="I353" s="1116"/>
      <c r="J353" s="1141"/>
      <c r="K353" s="1141"/>
      <c r="L353" s="1006"/>
      <c r="M353" s="1007"/>
      <c r="N353" s="1007"/>
      <c r="O353" s="1008"/>
      <c r="P353" s="1091"/>
      <c r="R353" s="10"/>
      <c r="S353" s="147">
        <f t="shared" ref="S353:S358" si="52">IF(J353&gt;0,J353,E353)</f>
        <v>0</v>
      </c>
      <c r="T353" s="147">
        <f>LARGE($S$342:$S$367,12)</f>
        <v>0</v>
      </c>
      <c r="U353" s="553">
        <f t="shared" si="50"/>
        <v>0</v>
      </c>
      <c r="V353" s="557">
        <f t="shared" si="51"/>
        <v>0</v>
      </c>
      <c r="W353" s="10"/>
      <c r="X353" s="10"/>
      <c r="Y353" s="10"/>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3">
      <c r="B354" s="1184" t="s">
        <v>2016</v>
      </c>
      <c r="C354" s="1185"/>
      <c r="D354" s="1186"/>
      <c r="E354" s="742">
        <f>P238</f>
        <v>0</v>
      </c>
      <c r="F354" s="744"/>
      <c r="G354" s="960"/>
      <c r="H354" s="1182"/>
      <c r="I354" s="1183"/>
      <c r="J354" s="1188">
        <f t="shared" ref="J354:J358" si="53">IF(AND(Y354&lt;0.01,Y354&gt;0),0.01,ROUND(Y354,2))</f>
        <v>0</v>
      </c>
      <c r="K354" s="1193"/>
      <c r="L354" s="1006"/>
      <c r="M354" s="1007"/>
      <c r="N354" s="1007"/>
      <c r="O354" s="1008"/>
      <c r="P354" s="1091"/>
      <c r="R354" s="10"/>
      <c r="S354" s="147">
        <f t="shared" si="52"/>
        <v>0</v>
      </c>
      <c r="T354" s="147">
        <f>LARGE($S$342:$S$367,13)</f>
        <v>0</v>
      </c>
      <c r="U354" s="553">
        <f t="shared" si="50"/>
        <v>0</v>
      </c>
      <c r="V354" s="557">
        <f t="shared" si="51"/>
        <v>0</v>
      </c>
      <c r="W354" s="10"/>
      <c r="X354" s="10"/>
      <c r="Y354" s="21">
        <f>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3">
      <c r="B355" s="757" t="s">
        <v>1226</v>
      </c>
      <c r="C355" s="758"/>
      <c r="D355" s="759"/>
      <c r="E355" s="742">
        <f>P239</f>
        <v>0</v>
      </c>
      <c r="F355" s="744"/>
      <c r="G355" s="960"/>
      <c r="H355" s="1182"/>
      <c r="I355" s="1183"/>
      <c r="J355" s="1188">
        <f t="shared" si="53"/>
        <v>0</v>
      </c>
      <c r="K355" s="1193"/>
      <c r="L355" s="1006"/>
      <c r="M355" s="1007"/>
      <c r="N355" s="1007"/>
      <c r="O355" s="1008"/>
      <c r="P355" s="1091"/>
      <c r="R355" s="10"/>
      <c r="S355" s="147">
        <f t="shared" si="52"/>
        <v>0</v>
      </c>
      <c r="T355" s="147">
        <f>LARGE($S$342:$S$367,14)</f>
        <v>0</v>
      </c>
      <c r="U355" s="553">
        <f t="shared" si="50"/>
        <v>0</v>
      </c>
      <c r="V355" s="557">
        <f t="shared" si="51"/>
        <v>0</v>
      </c>
      <c r="W355" s="10"/>
      <c r="X355" s="10"/>
      <c r="Y355" s="21">
        <f t="shared" ref="Y355:Y358" si="54">G355*E355</f>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3">
      <c r="B356" s="1184" t="s">
        <v>37</v>
      </c>
      <c r="C356" s="1185"/>
      <c r="D356" s="1186"/>
      <c r="E356" s="742">
        <f>P242</f>
        <v>0</v>
      </c>
      <c r="F356" s="744"/>
      <c r="G356" s="960"/>
      <c r="H356" s="1182"/>
      <c r="I356" s="1183"/>
      <c r="J356" s="1188">
        <f t="shared" si="53"/>
        <v>0</v>
      </c>
      <c r="K356" s="1193"/>
      <c r="L356" s="1006"/>
      <c r="M356" s="1007"/>
      <c r="N356" s="1007"/>
      <c r="O356" s="1008"/>
      <c r="P356" s="1091"/>
      <c r="R356" s="10"/>
      <c r="S356" s="147">
        <f t="shared" si="52"/>
        <v>0</v>
      </c>
      <c r="T356" s="147">
        <f>LARGE($S$342:$S$367,15)</f>
        <v>0</v>
      </c>
      <c r="U356" s="553">
        <f t="shared" si="50"/>
        <v>0</v>
      </c>
      <c r="V356" s="557">
        <f t="shared" si="51"/>
        <v>0</v>
      </c>
      <c r="W356" s="10"/>
      <c r="X356" s="10"/>
      <c r="Y356" s="21">
        <f t="shared" si="54"/>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3">
      <c r="B357" s="1184" t="s">
        <v>1175</v>
      </c>
      <c r="C357" s="1185"/>
      <c r="D357" s="1186"/>
      <c r="E357" s="742">
        <f>P243</f>
        <v>0</v>
      </c>
      <c r="F357" s="744"/>
      <c r="G357" s="960"/>
      <c r="H357" s="1182"/>
      <c r="I357" s="1183"/>
      <c r="J357" s="1188">
        <f t="shared" si="53"/>
        <v>0</v>
      </c>
      <c r="K357" s="1193"/>
      <c r="L357" s="1006"/>
      <c r="M357" s="1007"/>
      <c r="N357" s="1007"/>
      <c r="O357" s="1008"/>
      <c r="P357" s="1091"/>
      <c r="R357" s="10"/>
      <c r="S357" s="147">
        <f t="shared" si="52"/>
        <v>0</v>
      </c>
      <c r="T357" s="147">
        <f>LARGE($S$342:$S$367,16)</f>
        <v>0</v>
      </c>
      <c r="U357" s="553">
        <f t="shared" si="50"/>
        <v>0</v>
      </c>
      <c r="V357" s="557">
        <f t="shared" si="51"/>
        <v>0</v>
      </c>
      <c r="W357" s="10"/>
      <c r="X357" s="10"/>
      <c r="Y357" s="21">
        <f t="shared" si="54"/>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3">
      <c r="B358" s="1184" t="s">
        <v>1443</v>
      </c>
      <c r="C358" s="1185"/>
      <c r="D358" s="1186"/>
      <c r="E358" s="742">
        <f>P244</f>
        <v>0</v>
      </c>
      <c r="F358" s="744"/>
      <c r="G358" s="960"/>
      <c r="H358" s="1182"/>
      <c r="I358" s="1183"/>
      <c r="J358" s="1188">
        <f t="shared" si="53"/>
        <v>0</v>
      </c>
      <c r="K358" s="1193"/>
      <c r="L358" s="1006"/>
      <c r="M358" s="1007"/>
      <c r="N358" s="1007"/>
      <c r="O358" s="1008"/>
      <c r="P358" s="1091"/>
      <c r="R358" s="10"/>
      <c r="S358" s="147">
        <f t="shared" si="52"/>
        <v>0</v>
      </c>
      <c r="T358" s="147">
        <f>LARGE($S$342:$S$367,17)</f>
        <v>0</v>
      </c>
      <c r="U358" s="553">
        <f t="shared" si="50"/>
        <v>0</v>
      </c>
      <c r="V358" s="557">
        <f t="shared" si="51"/>
        <v>0</v>
      </c>
      <c r="W358" s="10"/>
      <c r="X358" s="10"/>
      <c r="Y358" s="21">
        <f t="shared" si="54"/>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3">
      <c r="B359" s="1184" t="s">
        <v>1444</v>
      </c>
      <c r="C359" s="1185"/>
      <c r="D359" s="1186"/>
      <c r="E359" s="742">
        <f>P247</f>
        <v>0</v>
      </c>
      <c r="F359" s="744"/>
      <c r="G359" s="940" t="s">
        <v>1941</v>
      </c>
      <c r="H359" s="941"/>
      <c r="I359" s="942"/>
      <c r="J359" s="1192"/>
      <c r="K359" s="1349"/>
      <c r="L359" s="633"/>
      <c r="M359" s="634"/>
      <c r="N359" s="634"/>
      <c r="O359" s="635"/>
      <c r="P359" s="1091"/>
      <c r="R359" s="10"/>
      <c r="S359" s="557">
        <f>E359</f>
        <v>0</v>
      </c>
      <c r="T359" s="147">
        <f>LARGE($S$342:$S$367,18)</f>
        <v>0</v>
      </c>
      <c r="U359" s="553">
        <f t="shared" si="50"/>
        <v>0</v>
      </c>
      <c r="V359" s="557">
        <f t="shared" si="51"/>
        <v>0</v>
      </c>
      <c r="W359" s="10"/>
      <c r="X359" s="10"/>
      <c r="Y359" s="197"/>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3">
      <c r="B360" s="146" t="s">
        <v>1869</v>
      </c>
      <c r="C360" s="146"/>
      <c r="D360" s="146"/>
      <c r="E360" s="742">
        <f>P248</f>
        <v>0</v>
      </c>
      <c r="F360" s="744"/>
      <c r="G360" s="940" t="s">
        <v>1941</v>
      </c>
      <c r="H360" s="941"/>
      <c r="I360" s="942"/>
      <c r="J360" s="1192"/>
      <c r="K360" s="1349"/>
      <c r="L360" s="633"/>
      <c r="M360" s="634"/>
      <c r="N360" s="634"/>
      <c r="O360" s="635"/>
      <c r="P360" s="1091"/>
      <c r="R360" s="10"/>
      <c r="S360" s="557">
        <f>E360</f>
        <v>0</v>
      </c>
      <c r="T360" s="147">
        <f>LARGE($S$342:$S$367,19)</f>
        <v>0</v>
      </c>
      <c r="U360" s="553">
        <f t="shared" si="50"/>
        <v>0</v>
      </c>
      <c r="V360" s="557">
        <f t="shared" si="51"/>
        <v>0</v>
      </c>
      <c r="W360" s="10"/>
      <c r="X360" s="10"/>
      <c r="Y360" s="198"/>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3">
      <c r="B361" s="1184" t="s">
        <v>1445</v>
      </c>
      <c r="C361" s="1185"/>
      <c r="D361" s="1186"/>
      <c r="E361" s="742">
        <f>P250</f>
        <v>0</v>
      </c>
      <c r="F361" s="744"/>
      <c r="G361" s="940" t="s">
        <v>1941</v>
      </c>
      <c r="H361" s="941"/>
      <c r="I361" s="942"/>
      <c r="J361" s="1192"/>
      <c r="K361" s="1349"/>
      <c r="L361" s="633"/>
      <c r="M361" s="634"/>
      <c r="N361" s="634"/>
      <c r="O361" s="635"/>
      <c r="P361" s="1091"/>
      <c r="R361" s="10"/>
      <c r="S361" s="557">
        <f>E361</f>
        <v>0</v>
      </c>
      <c r="T361" s="147">
        <f>LARGE($S$342:$S$367,20)</f>
        <v>0</v>
      </c>
      <c r="U361" s="553">
        <f t="shared" si="50"/>
        <v>0</v>
      </c>
      <c r="V361" s="557">
        <f t="shared" si="51"/>
        <v>0</v>
      </c>
      <c r="W361" s="10"/>
      <c r="X361" s="10"/>
      <c r="Y361" s="198"/>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3">
      <c r="B362" s="1184" t="s">
        <v>1446</v>
      </c>
      <c r="C362" s="1185"/>
      <c r="D362" s="1186"/>
      <c r="E362" s="742">
        <f>P253</f>
        <v>0</v>
      </c>
      <c r="F362" s="744"/>
      <c r="G362" s="960"/>
      <c r="H362" s="1182"/>
      <c r="I362" s="1183"/>
      <c r="J362" s="1188">
        <f t="shared" ref="J362:J366" si="55">IF(AND(Y362&lt;0.01,Y362&gt;0),0.01,ROUND(Y362,2))</f>
        <v>0</v>
      </c>
      <c r="K362" s="1188"/>
      <c r="L362" s="973" t="str">
        <f>IF(AND(P427&gt;0,W348&gt;0),"The worker has motor loss impairment. Additional impairment values are not allowed for chronic condition, reduced range of motion, or strength loss.","")</f>
        <v/>
      </c>
      <c r="M362" s="973"/>
      <c r="N362" s="973"/>
      <c r="O362" s="974"/>
      <c r="P362" s="1091"/>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3">
      <c r="B363" s="1184" t="s">
        <v>1447</v>
      </c>
      <c r="C363" s="1185"/>
      <c r="D363" s="1186"/>
      <c r="E363" s="742">
        <f>P254</f>
        <v>0</v>
      </c>
      <c r="F363" s="744"/>
      <c r="G363" s="960"/>
      <c r="H363" s="1182"/>
      <c r="I363" s="1183"/>
      <c r="J363" s="1188">
        <f t="shared" si="55"/>
        <v>0</v>
      </c>
      <c r="K363" s="1188"/>
      <c r="L363" s="973"/>
      <c r="M363" s="973"/>
      <c r="N363" s="973"/>
      <c r="O363" s="974"/>
      <c r="P363" s="1091"/>
      <c r="R363" s="10"/>
      <c r="S363" s="147">
        <f t="shared" si="56"/>
        <v>0</v>
      </c>
      <c r="T363" s="147">
        <f>LARGE($S$342:$S$367,22)</f>
        <v>0</v>
      </c>
      <c r="U363" s="553">
        <f t="shared" si="50"/>
        <v>0</v>
      </c>
      <c r="V363" s="557">
        <f t="shared" si="51"/>
        <v>0</v>
      </c>
      <c r="W363" s="10"/>
      <c r="X363" s="10"/>
      <c r="Y363" s="21">
        <f t="shared" si="57"/>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3">
      <c r="B364" s="1184" t="s">
        <v>1448</v>
      </c>
      <c r="C364" s="1185"/>
      <c r="D364" s="1186"/>
      <c r="E364" s="742">
        <f>P257</f>
        <v>0</v>
      </c>
      <c r="F364" s="744"/>
      <c r="G364" s="960"/>
      <c r="H364" s="1182"/>
      <c r="I364" s="1183"/>
      <c r="J364" s="1188">
        <f t="shared" si="55"/>
        <v>0</v>
      </c>
      <c r="K364" s="1188"/>
      <c r="L364" s="973"/>
      <c r="M364" s="973"/>
      <c r="N364" s="973"/>
      <c r="O364" s="974"/>
      <c r="P364" s="1091"/>
      <c r="R364" s="10"/>
      <c r="S364" s="147">
        <f t="shared" si="56"/>
        <v>0</v>
      </c>
      <c r="T364" s="147">
        <f>LARGE($S$342:$S$367,23)</f>
        <v>0</v>
      </c>
      <c r="U364" s="553">
        <f t="shared" si="50"/>
        <v>0</v>
      </c>
      <c r="V364" s="557">
        <f t="shared" si="51"/>
        <v>0</v>
      </c>
      <c r="W364" s="10"/>
      <c r="X364" s="10"/>
      <c r="Y364" s="21">
        <f t="shared" si="57"/>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3">
      <c r="B365" s="1184" t="s">
        <v>596</v>
      </c>
      <c r="C365" s="1185"/>
      <c r="D365" s="1186"/>
      <c r="E365" s="742">
        <f>IF(P427&gt;0,0,P267)</f>
        <v>0</v>
      </c>
      <c r="F365" s="744"/>
      <c r="G365" s="960"/>
      <c r="H365" s="1182"/>
      <c r="I365" s="1183"/>
      <c r="J365" s="1188">
        <f t="shared" si="55"/>
        <v>0</v>
      </c>
      <c r="K365" s="1188"/>
      <c r="L365" s="973"/>
      <c r="M365" s="973"/>
      <c r="N365" s="973"/>
      <c r="O365" s="974"/>
      <c r="P365" s="1091"/>
      <c r="R365" s="10"/>
      <c r="S365" s="147">
        <f t="shared" si="56"/>
        <v>0</v>
      </c>
      <c r="T365" s="147">
        <f>LARGE($S$342:$S$367,24)</f>
        <v>0</v>
      </c>
      <c r="U365" s="553">
        <f t="shared" si="50"/>
        <v>0</v>
      </c>
      <c r="V365" s="557">
        <f t="shared" si="51"/>
        <v>0</v>
      </c>
      <c r="W365" s="10"/>
      <c r="X365" s="10"/>
      <c r="Y365" s="21">
        <f t="shared" si="57"/>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3">
      <c r="B366" s="1184" t="s">
        <v>1638</v>
      </c>
      <c r="C366" s="1185"/>
      <c r="D366" s="1186"/>
      <c r="E366" s="742">
        <f>IF(P427&gt;0,0,P337)</f>
        <v>0</v>
      </c>
      <c r="F366" s="744"/>
      <c r="G366" s="960"/>
      <c r="H366" s="1182"/>
      <c r="I366" s="1183"/>
      <c r="J366" s="1188">
        <f t="shared" si="55"/>
        <v>0</v>
      </c>
      <c r="K366" s="1188"/>
      <c r="L366" s="973"/>
      <c r="M366" s="973"/>
      <c r="N366" s="973"/>
      <c r="O366" s="974"/>
      <c r="P366" s="1091"/>
      <c r="R366" s="10"/>
      <c r="S366" s="147">
        <f t="shared" si="56"/>
        <v>0</v>
      </c>
      <c r="T366" s="147">
        <f>LARGE($S$342:$S$367,25)</f>
        <v>0</v>
      </c>
      <c r="U366" s="553">
        <f t="shared" si="50"/>
        <v>0</v>
      </c>
      <c r="V366" s="557">
        <f t="shared" si="51"/>
        <v>0</v>
      </c>
      <c r="W366" s="10"/>
      <c r="X366" s="10"/>
      <c r="Y366" s="21">
        <f t="shared" si="57"/>
        <v>0</v>
      </c>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3">
      <c r="B367" s="1224" t="s">
        <v>1450</v>
      </c>
      <c r="C367" s="1225"/>
      <c r="D367" s="1226"/>
      <c r="E367" s="1079">
        <f>P270</f>
        <v>0</v>
      </c>
      <c r="F367" s="1187"/>
      <c r="G367" s="940" t="s">
        <v>1941</v>
      </c>
      <c r="H367" s="941"/>
      <c r="I367" s="942"/>
      <c r="J367" s="1141"/>
      <c r="K367" s="1141"/>
      <c r="L367" s="973"/>
      <c r="M367" s="973"/>
      <c r="N367" s="973"/>
      <c r="O367" s="974"/>
      <c r="P367" s="1091"/>
      <c r="R367" s="10"/>
      <c r="S367" s="147">
        <f t="shared" si="56"/>
        <v>0</v>
      </c>
      <c r="T367" s="147">
        <f>LARGE($S$342:$S$367,26)</f>
        <v>0</v>
      </c>
      <c r="U367" s="10"/>
      <c r="V367" s="10"/>
      <c r="W367" s="10"/>
      <c r="X367" s="10"/>
      <c r="Y367" s="10"/>
      <c r="Z367" s="10"/>
      <c r="AA367" s="10"/>
      <c r="AB367" s="6"/>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5" customHeight="1" x14ac:dyDescent="0.3">
      <c r="B368" s="959" t="s">
        <v>1198</v>
      </c>
      <c r="C368" s="959"/>
      <c r="D368" s="959"/>
      <c r="E368" s="959"/>
      <c r="F368" s="959"/>
      <c r="G368" s="959"/>
      <c r="H368" s="959"/>
      <c r="I368" s="959"/>
      <c r="J368" s="959"/>
      <c r="K368" s="959"/>
      <c r="L368" s="959"/>
      <c r="M368" s="959"/>
      <c r="N368" s="959"/>
      <c r="O368" s="959"/>
      <c r="P368" s="1372"/>
      <c r="R368" s="10"/>
      <c r="S368" s="10"/>
      <c r="T368" s="10"/>
      <c r="U368" s="10"/>
      <c r="V368" s="10"/>
      <c r="W368" s="10"/>
      <c r="X368" s="10"/>
      <c r="Y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10.9" customHeight="1" x14ac:dyDescent="0.3">
      <c r="B369" s="792"/>
      <c r="C369" s="792"/>
      <c r="D369" s="792"/>
      <c r="E369" s="792"/>
      <c r="F369" s="792"/>
      <c r="G369" s="792"/>
      <c r="H369" s="792"/>
      <c r="I369" s="792"/>
      <c r="J369" s="792"/>
      <c r="K369" s="792"/>
      <c r="L369" s="792"/>
      <c r="M369" s="792"/>
      <c r="N369" s="792"/>
      <c r="O369" s="792"/>
      <c r="P369" s="792"/>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9" customHeight="1" x14ac:dyDescent="0.3">
      <c r="B370" s="1211"/>
      <c r="C370" s="1211"/>
      <c r="D370" s="1211"/>
      <c r="E370" s="1211"/>
      <c r="F370" s="1211"/>
      <c r="G370" s="1211"/>
      <c r="H370" s="1211"/>
      <c r="I370" s="1211"/>
      <c r="J370" s="1211"/>
      <c r="K370" s="1211"/>
      <c r="L370" s="1211"/>
      <c r="M370" s="1211"/>
      <c r="N370" s="1211"/>
      <c r="O370" s="1211"/>
      <c r="P370" s="1211"/>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30" customHeight="1" x14ac:dyDescent="0.3">
      <c r="B371" s="910" t="s">
        <v>1909</v>
      </c>
      <c r="C371" s="911"/>
      <c r="D371" s="911"/>
      <c r="E371" s="911"/>
      <c r="F371" s="911"/>
      <c r="G371" s="911"/>
      <c r="H371" s="911"/>
      <c r="I371" s="911"/>
      <c r="J371" s="911"/>
      <c r="K371" s="911"/>
      <c r="L371" s="911"/>
      <c r="M371" s="911"/>
      <c r="N371" s="911"/>
      <c r="O371" s="911"/>
      <c r="P371" s="395" t="s">
        <v>713</v>
      </c>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9" customHeight="1" x14ac:dyDescent="0.4">
      <c r="B372" s="1242"/>
      <c r="C372" s="1242"/>
      <c r="D372" s="1242"/>
      <c r="E372" s="1242"/>
      <c r="F372" s="1242"/>
      <c r="G372" s="1242"/>
      <c r="H372" s="1242"/>
      <c r="I372" s="1242"/>
      <c r="J372" s="1242"/>
      <c r="K372" s="1242"/>
      <c r="L372" s="1242"/>
      <c r="M372" s="1242"/>
      <c r="N372" s="1242"/>
      <c r="O372" s="1242"/>
      <c r="P372" s="387"/>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21" customHeight="1" x14ac:dyDescent="0.3">
      <c r="A373" s="15"/>
      <c r="B373" s="1241" t="s">
        <v>1199</v>
      </c>
      <c r="C373" s="1241"/>
      <c r="D373" s="1241"/>
      <c r="E373" s="1241"/>
      <c r="F373" s="1241"/>
      <c r="G373" s="1241"/>
      <c r="H373" s="1241"/>
      <c r="I373" s="1241"/>
      <c r="J373" s="1241"/>
      <c r="K373" s="1241"/>
      <c r="L373" s="1241"/>
      <c r="M373" s="1241"/>
      <c r="N373" s="1241"/>
      <c r="O373" s="1241"/>
      <c r="P373" s="21">
        <f>IF(R373=2,1,0)</f>
        <v>0</v>
      </c>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9" customHeight="1" x14ac:dyDescent="0.35">
      <c r="B374" s="1211"/>
      <c r="C374" s="1211"/>
      <c r="D374" s="1211"/>
      <c r="E374" s="1211"/>
      <c r="F374" s="1211"/>
      <c r="G374" s="1211"/>
      <c r="H374" s="1211"/>
      <c r="I374" s="1211"/>
      <c r="J374" s="1211"/>
      <c r="K374" s="1211"/>
      <c r="L374" s="1211"/>
      <c r="M374" s="1211"/>
      <c r="N374" s="1211"/>
      <c r="O374" s="1211"/>
      <c r="P374" s="81"/>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18" customHeight="1" x14ac:dyDescent="0.3">
      <c r="B375" s="925" t="s">
        <v>1594</v>
      </c>
      <c r="C375" s="925"/>
      <c r="D375" s="925"/>
      <c r="E375" s="925"/>
      <c r="F375" s="925"/>
      <c r="G375" s="925"/>
      <c r="H375" s="925"/>
      <c r="I375" s="925"/>
      <c r="J375" s="925"/>
      <c r="K375" s="925"/>
      <c r="L375" s="925"/>
      <c r="M375" s="925"/>
      <c r="N375" s="925"/>
      <c r="O375" s="925"/>
      <c r="P375" s="925"/>
      <c r="R375" s="10"/>
      <c r="S375" s="10"/>
      <c r="T375" s="39"/>
      <c r="X375" s="39"/>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27" customHeight="1" x14ac:dyDescent="0.3">
      <c r="B376" s="276"/>
      <c r="C376" s="925" t="s">
        <v>1595</v>
      </c>
      <c r="D376" s="925"/>
      <c r="E376" s="925"/>
      <c r="F376" s="925"/>
      <c r="G376" s="927" t="s">
        <v>1081</v>
      </c>
      <c r="H376" s="927"/>
      <c r="I376" s="927"/>
      <c r="J376" s="927"/>
      <c r="K376" s="927"/>
      <c r="L376" s="1229"/>
      <c r="M376" s="1230"/>
      <c r="N376" s="1230"/>
      <c r="O376" s="1231"/>
      <c r="P376" s="925"/>
      <c r="R376" s="10"/>
      <c r="S376" s="50" t="s">
        <v>1572</v>
      </c>
      <c r="T376" s="259" t="s">
        <v>1595</v>
      </c>
      <c r="U376" s="259" t="s">
        <v>1596</v>
      </c>
      <c r="V376" s="925" t="s">
        <v>1083</v>
      </c>
      <c r="W376" s="925"/>
      <c r="X376" s="925"/>
      <c r="Y376" s="925"/>
      <c r="Z376" s="259" t="s">
        <v>2225</v>
      </c>
      <c r="AA376" s="259" t="s">
        <v>2226</v>
      </c>
      <c r="AB376" s="128" t="s">
        <v>1206</v>
      </c>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3">
      <c r="B377" s="147" t="s">
        <v>1200</v>
      </c>
      <c r="C377" s="708"/>
      <c r="D377" s="708"/>
      <c r="E377" s="948">
        <f>LETable!AT55</f>
        <v>0</v>
      </c>
      <c r="F377" s="948"/>
      <c r="G377" s="708"/>
      <c r="H377" s="708"/>
      <c r="I377" s="708"/>
      <c r="J377" s="929">
        <f>IF(C377="",0,IF(OR(C377&lt;=0,G377&lt;=0),E377,IF(G377&lt;C377,0,LETable!AY55)))</f>
        <v>0</v>
      </c>
      <c r="K377" s="929"/>
      <c r="L377" s="946" t="str">
        <f>IF(OR(C377="NA",G377="NA"),"",IF(AND(C377&lt;&gt;"",G377=""),"Enter contralateral or NA.",IF(AND(C377="",G377&lt;&gt;""),"Need data","")))</f>
        <v/>
      </c>
      <c r="M377" s="946"/>
      <c r="N377" s="946"/>
      <c r="O377" s="946"/>
      <c r="P377" s="925"/>
      <c r="R377" s="50" t="s">
        <v>1201</v>
      </c>
      <c r="S377" s="50">
        <v>150</v>
      </c>
      <c r="T377" s="50" t="str">
        <f>IF(OR(C377="",C377="NA"),"",IF(C377&gt;S377,S377,IF(C377&lt;0,0,C377)))</f>
        <v/>
      </c>
      <c r="U377" s="50" t="str">
        <f>IF(OR(G377="",G377="NA"),"",IF(G377&gt;S377,S377,IF(G377&lt;0,0,G377)))</f>
        <v/>
      </c>
      <c r="V377" s="562" t="str">
        <f>IF(Y377="","",ROUND(Y377,0))</f>
        <v/>
      </c>
      <c r="W377" s="925" t="s">
        <v>1202</v>
      </c>
      <c r="X377" s="925"/>
      <c r="Y377" s="616" t="str">
        <f>IF(T377="","",IF(OR(U377="",U377=0,U377&lt;T377),T377,(T377*S377)/U377))</f>
        <v/>
      </c>
      <c r="Z377" s="50">
        <f>IF(AND(C378&lt;&gt;"",C378&lt;&gt;"NA"),1,0)</f>
        <v>0</v>
      </c>
      <c r="AA377" s="50">
        <f>IF(AND(C377&lt;&gt;"",C377&lt;&gt;"NA"),1,0)</f>
        <v>0</v>
      </c>
      <c r="AB377" s="193">
        <f>MAX(E378,E380)</f>
        <v>0</v>
      </c>
      <c r="AC377" s="10"/>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3">
      <c r="B378" s="147" t="s">
        <v>1203</v>
      </c>
      <c r="C378" s="708"/>
      <c r="D378" s="708"/>
      <c r="E378" s="948">
        <f>IF(AND($Z$379&gt;0,$AA$379&gt;0),"ERROR",LETable!AT56)</f>
        <v>0</v>
      </c>
      <c r="F378" s="948"/>
      <c r="G378" s="1238" t="str">
        <f>IF(E378="ERROR","Cannot rate ROM and ankylosis.","")</f>
        <v/>
      </c>
      <c r="H378" s="1239"/>
      <c r="I378" s="1239"/>
      <c r="J378" s="1239"/>
      <c r="K378" s="1239"/>
      <c r="L378" s="1239"/>
      <c r="M378" s="1239"/>
      <c r="N378" s="1239"/>
      <c r="O378" s="1240"/>
      <c r="P378" s="925"/>
      <c r="R378" s="50">
        <f>IF(R379="ERROR",1,0)</f>
        <v>0</v>
      </c>
      <c r="S378" s="50">
        <v>150</v>
      </c>
      <c r="T378" s="50" t="str">
        <f>IF(OR(C378="",C378="NA"),"",IF(C378&gt;S378,S378,IF(C378&lt;0,0,C378)))</f>
        <v/>
      </c>
      <c r="U378" s="10"/>
      <c r="V378" s="61"/>
      <c r="W378" s="10"/>
      <c r="X378" s="10"/>
      <c r="Y378" s="131"/>
      <c r="Z378" s="50">
        <f>IF(AND(C380&lt;&gt;"",C380&lt;&gt;"NA"),1,0)</f>
        <v>0</v>
      </c>
      <c r="AA378" s="50">
        <f>IF(AND(C379&lt;&gt;"",C379&lt;&gt;"NA"),1,0)</f>
        <v>0</v>
      </c>
      <c r="AB378" s="6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3.5" customHeight="1" x14ac:dyDescent="0.3">
      <c r="B379" s="147" t="s">
        <v>1204</v>
      </c>
      <c r="C379" s="708"/>
      <c r="D379" s="708"/>
      <c r="E379" s="948">
        <f>LETable!AT57</f>
        <v>0</v>
      </c>
      <c r="F379" s="948"/>
      <c r="G379" s="708"/>
      <c r="H379" s="708"/>
      <c r="I379" s="708"/>
      <c r="J379" s="929">
        <f>IF(C379="",0,IF(OR(C379&gt;=150,G379&gt;=150),E379,IF(G379&gt;C379,0,LETable!AY57)))</f>
        <v>0</v>
      </c>
      <c r="K379" s="929"/>
      <c r="L379" s="946" t="str">
        <f>IF(OR(C379="NA",G379="NA"),"",IF(AND(C379&lt;&gt;"",G379=""),"Enter contralateral or NA.",IF(AND(C379="",G379&lt;&gt;""),"Need data","")))</f>
        <v/>
      </c>
      <c r="M379" s="946"/>
      <c r="N379" s="946"/>
      <c r="O379" s="946"/>
      <c r="P379" s="925"/>
      <c r="R379" s="611">
        <f>IF(OR(E378="ERROR",E380="ERROR"),"ERROR",J377+J379+AB377)</f>
        <v>0</v>
      </c>
      <c r="S379" s="50">
        <v>150</v>
      </c>
      <c r="T379" s="50" t="str">
        <f>IF(OR(C379="",C379="NA"),"",IF(C379&gt;S379,S379,IF(C379&lt;0,0,C379)))</f>
        <v/>
      </c>
      <c r="U379" s="50" t="str">
        <f>IF(OR(G379="",G379="NA"),"",IF(G379&gt;S379,S379,IF(G379&lt;0,0,G379)))</f>
        <v/>
      </c>
      <c r="V379" s="562" t="str">
        <f>IF(Y379="","",ROUND(Y379,0))</f>
        <v/>
      </c>
      <c r="W379" s="50">
        <f>IF(T379="",0,S379-T379)</f>
        <v>0</v>
      </c>
      <c r="X379" s="50">
        <f>IF(U379="",0,S379-U379)</f>
        <v>0</v>
      </c>
      <c r="Y379" s="616" t="str">
        <f>IF(T379="","",IF(OR(U379="",U379=0,U379&gt;T379),T379,S379-(W379*S379)/X379))</f>
        <v/>
      </c>
      <c r="Z379" s="50">
        <f>Z377+Z378</f>
        <v>0</v>
      </c>
      <c r="AA379" s="50">
        <f>AA377+AA378</f>
        <v>0</v>
      </c>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5" customHeight="1" x14ac:dyDescent="0.3">
      <c r="B380" s="147" t="s">
        <v>1205</v>
      </c>
      <c r="C380" s="708"/>
      <c r="D380" s="708"/>
      <c r="E380" s="948">
        <f>IF(AND($Z$379&gt;0,$AA$379&gt;0),"ERROR",LETable!AT58)</f>
        <v>0</v>
      </c>
      <c r="F380" s="948"/>
      <c r="G380" s="1203" t="str">
        <f>IF(E380="ERROR","Cannot rate ROM and ankylosis.",IF(AND(C378&lt;&gt;"",C378&lt;&gt;"NA",C380&lt;&gt;"",C380&lt;&gt;"NA"),"Multiple ankylosis values; use higher value only.",""))</f>
        <v/>
      </c>
      <c r="H380" s="1204"/>
      <c r="I380" s="1204"/>
      <c r="J380" s="1204"/>
      <c r="K380" s="1204"/>
      <c r="L380" s="1204"/>
      <c r="M380" s="1204"/>
      <c r="N380" s="1204"/>
      <c r="O380" s="1205"/>
      <c r="P380" s="925"/>
      <c r="R380" s="147">
        <f>IF(R378=1,"ERROR",IF(AND(R379&gt;0,R379&lt;0.01),0.01,ROUND(R379,2)))</f>
        <v>0</v>
      </c>
      <c r="S380" s="50">
        <v>150</v>
      </c>
      <c r="T380" s="50" t="str">
        <f>IF(OR(C380="",C380="NA"),"",IF(C380&gt;S380,S380,IF(C380&lt;0,0,C380)))</f>
        <v/>
      </c>
      <c r="U380" s="58"/>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3.5" customHeight="1" x14ac:dyDescent="0.3">
      <c r="B381" s="1232"/>
      <c r="C381" s="1232"/>
      <c r="D381" s="1232"/>
      <c r="E381" s="1232"/>
      <c r="F381" s="1232"/>
      <c r="G381" s="1232"/>
      <c r="H381" s="1099" t="s">
        <v>1207</v>
      </c>
      <c r="I381" s="1100"/>
      <c r="J381" s="1100"/>
      <c r="K381" s="1100"/>
      <c r="L381" s="1100"/>
      <c r="M381" s="1100"/>
      <c r="N381" s="1100"/>
      <c r="O381" s="1101"/>
      <c r="P381" s="248">
        <f>IF(R380="ERROR","ERROR",IF(R380&gt;1,1,R380))</f>
        <v>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3">
      <c r="B382" s="147" t="s">
        <v>172</v>
      </c>
      <c r="C382" s="708"/>
      <c r="D382" s="708"/>
      <c r="E382" s="948">
        <f>LETable!AT61</f>
        <v>0</v>
      </c>
      <c r="F382" s="948"/>
      <c r="G382" s="708"/>
      <c r="H382" s="708"/>
      <c r="I382" s="708"/>
      <c r="J382" s="929">
        <f>IF(C382="",0,IF(OR(C382&lt;=0,G382&lt;=0),E382,IF(G382&lt;C382,0,LETable!AY61)))</f>
        <v>0</v>
      </c>
      <c r="K382" s="929"/>
      <c r="L382" s="1173" t="str">
        <f t="shared" ref="L382:L387" si="58">IF(OR(C382="NA",G382="NA"),"",IF(AND(C382&lt;&gt;"",G382=""),"Enter contralateral or NA.",IF(AND(C382="",G382&lt;&gt;""),"Need data","")))</f>
        <v/>
      </c>
      <c r="M382" s="1173"/>
      <c r="N382" s="1173"/>
      <c r="O382" s="1173"/>
      <c r="P382" s="1237"/>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14"/>
      <c r="X382" s="600"/>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3">
      <c r="B383" s="147" t="s">
        <v>1020</v>
      </c>
      <c r="C383" s="708"/>
      <c r="D383" s="708"/>
      <c r="E383" s="948">
        <f>LETable!AT62</f>
        <v>0</v>
      </c>
      <c r="F383" s="948"/>
      <c r="G383" s="708"/>
      <c r="H383" s="708"/>
      <c r="I383" s="708"/>
      <c r="J383" s="929">
        <f>IF(C383="",0,IF(OR(C383&lt;=0,G383&lt;=0),E383,IF(G383&lt;C383,0,LETable!AY62)))</f>
        <v>0</v>
      </c>
      <c r="K383" s="929"/>
      <c r="L383" s="1173" t="str">
        <f t="shared" si="58"/>
        <v/>
      </c>
      <c r="M383" s="1173"/>
      <c r="N383" s="1173"/>
      <c r="O383" s="1173"/>
      <c r="P383" s="1237"/>
      <c r="R383" s="10"/>
      <c r="S383" s="50">
        <v>30</v>
      </c>
      <c r="T383" s="50" t="str">
        <f t="shared" si="59"/>
        <v/>
      </c>
      <c r="U383" s="50" t="str">
        <f t="shared" si="60"/>
        <v/>
      </c>
      <c r="V383" s="562" t="str">
        <f t="shared" si="61"/>
        <v/>
      </c>
      <c r="W383" s="576"/>
      <c r="X383" s="19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3">
      <c r="B384" s="147" t="s">
        <v>1021</v>
      </c>
      <c r="C384" s="708"/>
      <c r="D384" s="708"/>
      <c r="E384" s="948">
        <f>LETable!AT63</f>
        <v>0</v>
      </c>
      <c r="F384" s="948"/>
      <c r="G384" s="708"/>
      <c r="H384" s="708"/>
      <c r="I384" s="708"/>
      <c r="J384" s="929">
        <f>IF(C384="",0,IF(OR(C384&lt;=0,G384&lt;=0),E384,IF(G384&lt;C384,0,LETable!AY63)))</f>
        <v>0</v>
      </c>
      <c r="K384" s="929"/>
      <c r="L384" s="1173" t="str">
        <f t="shared" si="58"/>
        <v/>
      </c>
      <c r="M384" s="1173"/>
      <c r="N384" s="1173"/>
      <c r="O384" s="1173"/>
      <c r="P384" s="1237"/>
      <c r="R384" s="10"/>
      <c r="S384" s="50">
        <v>40</v>
      </c>
      <c r="T384" s="50" t="str">
        <f t="shared" si="59"/>
        <v/>
      </c>
      <c r="U384" s="50" t="str">
        <f t="shared" si="60"/>
        <v/>
      </c>
      <c r="V384" s="562" t="str">
        <f t="shared" si="61"/>
        <v/>
      </c>
      <c r="W384" s="576"/>
      <c r="X384" s="19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3">
      <c r="B385" s="147" t="s">
        <v>1022</v>
      </c>
      <c r="C385" s="708"/>
      <c r="D385" s="708"/>
      <c r="E385" s="948">
        <f>LETable!AT64</f>
        <v>0</v>
      </c>
      <c r="F385" s="948"/>
      <c r="G385" s="708"/>
      <c r="H385" s="708"/>
      <c r="I385" s="708"/>
      <c r="J385" s="929">
        <f>IF(C385="",0,IF(OR(C385&lt;=0,G385&lt;=0),E385,IF(G385&lt;C385,0,LETable!AY64)))</f>
        <v>0</v>
      </c>
      <c r="K385" s="929"/>
      <c r="L385" s="1173" t="str">
        <f t="shared" si="58"/>
        <v/>
      </c>
      <c r="M385" s="1173"/>
      <c r="N385" s="1173"/>
      <c r="O385" s="1173"/>
      <c r="P385" s="1237"/>
      <c r="R385" s="10"/>
      <c r="S385" s="50">
        <v>20</v>
      </c>
      <c r="T385" s="50" t="str">
        <f t="shared" si="59"/>
        <v/>
      </c>
      <c r="U385" s="50" t="str">
        <f t="shared" si="60"/>
        <v/>
      </c>
      <c r="V385" s="562" t="str">
        <f t="shared" si="61"/>
        <v/>
      </c>
      <c r="W385" s="576"/>
      <c r="X385" s="19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3">
      <c r="B386" s="147" t="s">
        <v>629</v>
      </c>
      <c r="C386" s="708"/>
      <c r="D386" s="708"/>
      <c r="E386" s="948">
        <f>LETable!AT65</f>
        <v>0</v>
      </c>
      <c r="F386" s="948"/>
      <c r="G386" s="708"/>
      <c r="H386" s="708"/>
      <c r="I386" s="708"/>
      <c r="J386" s="929">
        <f>IF(C386="",0,IF(OR(C386&lt;=0,G386&lt;=0),E386,IF(G386&lt;C386,0,LETable!AY65)))</f>
        <v>0</v>
      </c>
      <c r="K386" s="929"/>
      <c r="L386" s="1173" t="str">
        <f t="shared" si="58"/>
        <v/>
      </c>
      <c r="M386" s="1173"/>
      <c r="N386" s="1173"/>
      <c r="O386" s="1173"/>
      <c r="P386" s="1237"/>
      <c r="R386" s="553">
        <f>SUM(J382:K387)</f>
        <v>0</v>
      </c>
      <c r="S386" s="50">
        <v>40</v>
      </c>
      <c r="T386" s="50" t="str">
        <f t="shared" si="59"/>
        <v/>
      </c>
      <c r="U386" s="50" t="str">
        <f t="shared" si="60"/>
        <v/>
      </c>
      <c r="V386" s="562" t="str">
        <f t="shared" si="61"/>
        <v/>
      </c>
      <c r="W386" s="576"/>
      <c r="X386" s="19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3">
      <c r="B387" s="147" t="s">
        <v>630</v>
      </c>
      <c r="C387" s="708"/>
      <c r="D387" s="708"/>
      <c r="E387" s="948">
        <f>LETable!AT66</f>
        <v>0</v>
      </c>
      <c r="F387" s="948"/>
      <c r="G387" s="708"/>
      <c r="H387" s="708"/>
      <c r="I387" s="708"/>
      <c r="J387" s="929">
        <f>IF(C387="",0,IF(OR(C387&lt;=0,G387&lt;=0),E387,IF(G387&lt;C387,0,LETable!AY66)))</f>
        <v>0</v>
      </c>
      <c r="K387" s="929"/>
      <c r="L387" s="1173" t="str">
        <f t="shared" si="58"/>
        <v/>
      </c>
      <c r="M387" s="1173"/>
      <c r="N387" s="1173"/>
      <c r="O387" s="1173"/>
      <c r="P387" s="1237"/>
      <c r="R387" s="147">
        <f>IF(AND(R386&gt;0,R386&lt;0.01),0.01,ROUND(R386,2))</f>
        <v>0</v>
      </c>
      <c r="S387" s="50">
        <v>50</v>
      </c>
      <c r="T387" s="50" t="str">
        <f t="shared" si="59"/>
        <v/>
      </c>
      <c r="U387" s="50" t="str">
        <f t="shared" si="60"/>
        <v/>
      </c>
      <c r="V387" s="562" t="str">
        <f t="shared" si="61"/>
        <v/>
      </c>
      <c r="W387" s="596"/>
      <c r="X387" s="61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5" customHeight="1" x14ac:dyDescent="0.3">
      <c r="B388" s="1099" t="s">
        <v>161</v>
      </c>
      <c r="C388" s="1100"/>
      <c r="D388" s="1100"/>
      <c r="E388" s="1100"/>
      <c r="F388" s="1100"/>
      <c r="G388" s="1100"/>
      <c r="H388" s="1100"/>
      <c r="I388" s="1100"/>
      <c r="J388" s="1100"/>
      <c r="K388" s="1100"/>
      <c r="L388" s="1100"/>
      <c r="M388" s="1100"/>
      <c r="N388" s="1100"/>
      <c r="O388" s="1101"/>
      <c r="P388" s="248">
        <f>IF(R387&gt;1,1,R387)</f>
        <v>0</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2" customHeight="1" x14ac:dyDescent="0.3">
      <c r="B389" s="1169"/>
      <c r="C389" s="1169"/>
      <c r="D389" s="1169"/>
      <c r="E389" s="1169"/>
      <c r="F389" s="1169"/>
      <c r="G389" s="1169"/>
      <c r="H389" s="1169"/>
      <c r="I389" s="1169"/>
      <c r="J389" s="1169"/>
      <c r="K389" s="1169"/>
      <c r="L389" s="1169"/>
      <c r="M389" s="1169"/>
      <c r="N389" s="1169"/>
      <c r="O389" s="1169"/>
      <c r="P389" s="63"/>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18" customHeight="1" x14ac:dyDescent="0.3">
      <c r="B390" s="1189" t="s">
        <v>631</v>
      </c>
      <c r="C390" s="1189"/>
      <c r="D390" s="1189"/>
      <c r="E390" s="1189"/>
      <c r="F390" s="1189"/>
      <c r="G390" s="1189"/>
      <c r="H390" s="1189"/>
      <c r="I390" s="1189"/>
      <c r="J390" s="1189"/>
      <c r="K390" s="1189"/>
      <c r="L390" s="1189"/>
      <c r="M390" s="1189"/>
      <c r="N390" s="1189"/>
      <c r="O390" s="1189"/>
      <c r="P390" s="1235"/>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27" customHeight="1" x14ac:dyDescent="0.3">
      <c r="B391" s="776" t="s">
        <v>608</v>
      </c>
      <c r="C391" s="776"/>
      <c r="D391" s="776"/>
      <c r="E391" s="776"/>
      <c r="F391" s="776"/>
      <c r="G391" s="776"/>
      <c r="H391" s="776"/>
      <c r="I391" s="776"/>
      <c r="J391" s="776"/>
      <c r="K391" s="776"/>
      <c r="L391" s="776"/>
      <c r="M391" s="776"/>
      <c r="N391" s="776"/>
      <c r="O391" s="776"/>
      <c r="P391" s="1235"/>
      <c r="R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8" customHeight="1" x14ac:dyDescent="0.3">
      <c r="B392" s="292" t="s">
        <v>154</v>
      </c>
      <c r="C392" s="1026"/>
      <c r="D392" s="1234"/>
      <c r="E392" s="1234"/>
      <c r="F392" s="1234"/>
      <c r="G392" s="1234"/>
      <c r="H392" s="1234"/>
      <c r="I392" s="1234"/>
      <c r="J392" s="1234"/>
      <c r="K392" s="1234"/>
      <c r="L392" s="1234"/>
      <c r="M392" s="1234"/>
      <c r="N392" s="1234"/>
      <c r="O392" s="1234"/>
      <c r="P392" s="82">
        <f>IF(C392=S392,0,IF(C392=T392,0.05,IF(C392=U392,0.1,IF(C392=V392,0.15,IF(C392=W392,0.2,0)))))</f>
        <v>0</v>
      </c>
      <c r="R392" s="341" t="s">
        <v>2196</v>
      </c>
      <c r="S392" s="50" t="s">
        <v>1941</v>
      </c>
      <c r="T392" s="50" t="s">
        <v>609</v>
      </c>
      <c r="U392" s="50" t="s">
        <v>610</v>
      </c>
      <c r="V392" s="50" t="s">
        <v>152</v>
      </c>
      <c r="W392" s="50" t="s">
        <v>153</v>
      </c>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2" customHeight="1" x14ac:dyDescent="0.3">
      <c r="B393" s="1169"/>
      <c r="C393" s="1169"/>
      <c r="D393" s="1169"/>
      <c r="E393" s="1169"/>
      <c r="F393" s="1169"/>
      <c r="G393" s="1169"/>
      <c r="H393" s="1169"/>
      <c r="I393" s="1169"/>
      <c r="J393" s="1169"/>
      <c r="K393" s="1169"/>
      <c r="L393" s="1169"/>
      <c r="M393" s="1169"/>
      <c r="N393" s="1169"/>
      <c r="O393" s="1169"/>
      <c r="P393" s="63"/>
      <c r="R393" s="10"/>
      <c r="S393" s="14"/>
      <c r="T393" s="14"/>
      <c r="U393" s="14"/>
      <c r="V393" s="14"/>
      <c r="W393" s="14"/>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18" customHeight="1" x14ac:dyDescent="0.3">
      <c r="B394" s="1189" t="s">
        <v>155</v>
      </c>
      <c r="C394" s="1189"/>
      <c r="D394" s="1189"/>
      <c r="E394" s="1189"/>
      <c r="F394" s="1189"/>
      <c r="G394" s="1189"/>
      <c r="H394" s="1189"/>
      <c r="I394" s="1189"/>
      <c r="J394" s="1189"/>
      <c r="K394" s="1189"/>
      <c r="L394" s="1189"/>
      <c r="M394" s="1189"/>
      <c r="N394" s="1189"/>
      <c r="O394" s="1189"/>
      <c r="P394" s="1235"/>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40.5" customHeight="1" x14ac:dyDescent="0.3">
      <c r="B395" s="776" t="s">
        <v>343</v>
      </c>
      <c r="C395" s="776"/>
      <c r="D395" s="776"/>
      <c r="E395" s="776"/>
      <c r="F395" s="776"/>
      <c r="G395" s="776"/>
      <c r="H395" s="776"/>
      <c r="I395" s="776"/>
      <c r="J395" s="776"/>
      <c r="K395" s="776"/>
      <c r="L395" s="776"/>
      <c r="M395" s="776"/>
      <c r="N395" s="776"/>
      <c r="O395" s="776"/>
      <c r="P395" s="1235"/>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8" customHeight="1" x14ac:dyDescent="0.3">
      <c r="B396" s="19" t="s">
        <v>1308</v>
      </c>
      <c r="C396" s="927" t="s">
        <v>1309</v>
      </c>
      <c r="D396" s="927"/>
      <c r="E396" s="927"/>
      <c r="F396" s="927"/>
      <c r="G396" s="927"/>
      <c r="H396" s="927"/>
      <c r="I396" s="927"/>
      <c r="J396" s="927"/>
      <c r="K396" s="927"/>
      <c r="L396" s="927"/>
      <c r="M396" s="927"/>
      <c r="N396" s="927"/>
      <c r="O396" s="927"/>
      <c r="P396" s="300"/>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3">
      <c r="B397" s="292" t="s">
        <v>1310</v>
      </c>
      <c r="C397" s="1026"/>
      <c r="D397" s="1026"/>
      <c r="E397" s="1026"/>
      <c r="F397" s="1026"/>
      <c r="G397" s="1026"/>
      <c r="H397" s="1026"/>
      <c r="I397" s="1026"/>
      <c r="J397" s="1026"/>
      <c r="K397" s="1026"/>
      <c r="L397" s="1026"/>
      <c r="M397" s="1026"/>
      <c r="N397" s="1026"/>
      <c r="O397" s="82">
        <f>IF(AND(S417=1,R397=1),0,SUMIF(S395:V395,C397,S396:W396))</f>
        <v>0</v>
      </c>
      <c r="P397" s="925"/>
      <c r="R397" s="5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3">
      <c r="B398" s="292" t="s">
        <v>1311</v>
      </c>
      <c r="C398" s="1026"/>
      <c r="D398" s="1026"/>
      <c r="E398" s="1026"/>
      <c r="F398" s="1026"/>
      <c r="G398" s="1026"/>
      <c r="H398" s="1026"/>
      <c r="I398" s="1026"/>
      <c r="J398" s="1026"/>
      <c r="K398" s="1026"/>
      <c r="L398" s="1026"/>
      <c r="M398" s="1026"/>
      <c r="N398" s="1026"/>
      <c r="O398" s="82">
        <f>IF(AND(S417=1,R398=1),0,SUMIF(S395:V395,C398,S396:V396))</f>
        <v>0</v>
      </c>
      <c r="P398" s="925"/>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3">
      <c r="B399" s="292" t="s">
        <v>1312</v>
      </c>
      <c r="C399" s="1026"/>
      <c r="D399" s="1026"/>
      <c r="E399" s="1026"/>
      <c r="F399" s="1026"/>
      <c r="G399" s="1026"/>
      <c r="H399" s="1026"/>
      <c r="I399" s="1026"/>
      <c r="J399" s="1026"/>
      <c r="K399" s="1026"/>
      <c r="L399" s="1026"/>
      <c r="M399" s="1026"/>
      <c r="N399" s="1026"/>
      <c r="O399" s="82">
        <f>IF(AND(S417=1,R399=1),0,SUMIF(S395:V395,C399,S397:V397))</f>
        <v>0</v>
      </c>
      <c r="P399" s="925"/>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15" customHeight="1" x14ac:dyDescent="0.3">
      <c r="B400" s="292" t="s">
        <v>1313</v>
      </c>
      <c r="C400" s="1026"/>
      <c r="D400" s="1026"/>
      <c r="E400" s="1026"/>
      <c r="F400" s="1026"/>
      <c r="G400" s="1026"/>
      <c r="H400" s="1026"/>
      <c r="I400" s="1026"/>
      <c r="J400" s="1026"/>
      <c r="K400" s="1026"/>
      <c r="L400" s="1026"/>
      <c r="M400" s="1026"/>
      <c r="N400" s="1026"/>
      <c r="O400" s="82">
        <f>IF(AND(S417=1,R400=1),0,SUMIF(S395:V395,C400,S397:V397))</f>
        <v>0</v>
      </c>
      <c r="P400" s="925"/>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27" customHeight="1" x14ac:dyDescent="0.3">
      <c r="B401" s="1198" t="str">
        <f>IF(AND(S417=1,R401&gt;0),"When there is a prosthetic knee replacement, instability only receives a value if the severity is Grade 2 or greater.","")</f>
        <v/>
      </c>
      <c r="C401" s="1199"/>
      <c r="D401" s="1199"/>
      <c r="E401" s="1199"/>
      <c r="F401" s="1199"/>
      <c r="G401" s="1199"/>
      <c r="H401" s="1199"/>
      <c r="I401" s="1200"/>
      <c r="J401" s="1341" t="s">
        <v>1314</v>
      </c>
      <c r="K401" s="1341"/>
      <c r="L401" s="1341"/>
      <c r="M401" s="1341"/>
      <c r="N401" s="1341"/>
      <c r="O401" s="1341"/>
      <c r="P401" s="82">
        <f>AA398</f>
        <v>0</v>
      </c>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2" customHeight="1" x14ac:dyDescent="0.3">
      <c r="B402" s="1169"/>
      <c r="C402" s="1169"/>
      <c r="D402" s="1169"/>
      <c r="E402" s="1169"/>
      <c r="F402" s="1169"/>
      <c r="G402" s="1169"/>
      <c r="H402" s="1169"/>
      <c r="I402" s="1169"/>
      <c r="J402" s="1169"/>
      <c r="K402" s="1169"/>
      <c r="L402" s="1169"/>
      <c r="M402" s="1169"/>
      <c r="N402" s="1169"/>
      <c r="O402" s="1169"/>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4" x14ac:dyDescent="0.3">
      <c r="B403" s="925" t="s">
        <v>1315</v>
      </c>
      <c r="C403" s="925"/>
      <c r="D403" s="925"/>
      <c r="E403" s="925"/>
      <c r="F403" s="925"/>
      <c r="G403" s="925"/>
      <c r="H403" s="925"/>
      <c r="I403" s="925"/>
      <c r="J403" s="925"/>
      <c r="K403" s="925"/>
      <c r="L403" s="925"/>
      <c r="M403" s="925"/>
      <c r="N403" s="925"/>
      <c r="O403" s="925"/>
      <c r="P403" s="385"/>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8" customHeight="1" x14ac:dyDescent="0.3">
      <c r="A404" s="15"/>
      <c r="B404" s="146" t="s">
        <v>1316</v>
      </c>
      <c r="C404" s="925"/>
      <c r="D404" s="925"/>
      <c r="E404" s="925"/>
      <c r="F404" s="925"/>
      <c r="G404" s="925"/>
      <c r="H404" s="925"/>
      <c r="I404" s="925"/>
      <c r="J404" s="925"/>
      <c r="K404" s="925"/>
      <c r="L404" s="925"/>
      <c r="M404" s="925"/>
      <c r="N404" s="925"/>
      <c r="O404" s="925"/>
      <c r="P404" s="82">
        <f>IF(R404=1,0,IF(R404=2,0.1,IF(R404=3,0.1)))</f>
        <v>0</v>
      </c>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2" customHeight="1" x14ac:dyDescent="0.3">
      <c r="B405" s="1169"/>
      <c r="C405" s="1169"/>
      <c r="D405" s="1169"/>
      <c r="E405" s="1169"/>
      <c r="F405" s="1169"/>
      <c r="G405" s="1169"/>
      <c r="H405" s="1169"/>
      <c r="I405" s="1169"/>
      <c r="J405" s="1169"/>
      <c r="K405" s="1169"/>
      <c r="L405" s="1169"/>
      <c r="M405" s="1169"/>
      <c r="N405" s="1169"/>
      <c r="O405" s="1169"/>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3">
      <c r="B406" s="925" t="s">
        <v>1849</v>
      </c>
      <c r="C406" s="925"/>
      <c r="D406" s="925"/>
      <c r="E406" s="925"/>
      <c r="F406" s="925"/>
      <c r="G406" s="925"/>
      <c r="H406" s="925"/>
      <c r="I406" s="925"/>
      <c r="J406" s="925"/>
      <c r="K406" s="925"/>
      <c r="L406" s="925"/>
      <c r="M406" s="925"/>
      <c r="N406" s="925"/>
      <c r="O406" s="925"/>
      <c r="P406" s="385"/>
      <c r="R406" s="947"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18" customHeight="1" x14ac:dyDescent="0.3">
      <c r="B407" s="146" t="s">
        <v>1767</v>
      </c>
      <c r="C407" s="1026"/>
      <c r="D407" s="1026"/>
      <c r="E407" s="1026"/>
      <c r="F407" s="1026"/>
      <c r="G407" s="1026"/>
      <c r="H407" s="1026"/>
      <c r="I407" s="1026"/>
      <c r="J407" s="1026"/>
      <c r="K407" s="1026"/>
      <c r="L407" s="1026"/>
      <c r="M407" s="1026"/>
      <c r="N407" s="1026"/>
      <c r="O407" s="1026"/>
      <c r="P407" s="82">
        <f>SUMIF(S406:AM406,C407,S407:AM407)</f>
        <v>0</v>
      </c>
      <c r="R407" s="878"/>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3">
      <c r="B408" s="792"/>
      <c r="C408" s="792"/>
      <c r="D408" s="792"/>
      <c r="E408" s="792"/>
      <c r="F408" s="792"/>
      <c r="G408" s="792"/>
      <c r="H408" s="792"/>
      <c r="I408" s="792"/>
      <c r="J408" s="792"/>
      <c r="K408" s="792"/>
      <c r="L408" s="792"/>
      <c r="M408" s="792"/>
      <c r="N408" s="792"/>
      <c r="O408" s="792"/>
      <c r="P408" s="792"/>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ht="9" customHeight="1" x14ac:dyDescent="0.3">
      <c r="B409" s="1169"/>
      <c r="C409" s="1169"/>
      <c r="D409" s="1169"/>
      <c r="E409" s="1169"/>
      <c r="F409" s="1169"/>
      <c r="G409" s="1169"/>
      <c r="H409" s="1169"/>
      <c r="I409" s="1169"/>
      <c r="J409" s="1169"/>
      <c r="K409" s="1169"/>
      <c r="L409" s="1169"/>
      <c r="M409" s="1169"/>
      <c r="N409" s="1169"/>
      <c r="O409" s="1169"/>
      <c r="P409" s="1169"/>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row>
    <row r="410" spans="1:228" s="6" customFormat="1" ht="18" customHeight="1" x14ac:dyDescent="0.3">
      <c r="A410" s="2"/>
      <c r="B410" s="925" t="s">
        <v>310</v>
      </c>
      <c r="C410" s="925"/>
      <c r="D410" s="925"/>
      <c r="E410" s="925"/>
      <c r="F410" s="925"/>
      <c r="G410" s="925"/>
      <c r="H410" s="925"/>
      <c r="I410" s="925"/>
      <c r="J410" s="925"/>
      <c r="K410" s="925"/>
      <c r="L410" s="925"/>
      <c r="M410" s="925"/>
      <c r="N410" s="925"/>
      <c r="O410" s="925"/>
      <c r="P410" s="300"/>
      <c r="Q410" s="2"/>
      <c r="R410" s="947"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3">
      <c r="A411" s="15"/>
      <c r="B411" s="1180" t="s">
        <v>1499</v>
      </c>
      <c r="C411" s="708"/>
      <c r="D411" s="708"/>
      <c r="E411" s="708"/>
      <c r="F411" s="708"/>
      <c r="G411" s="708"/>
      <c r="H411" s="708"/>
      <c r="I411" s="708"/>
      <c r="J411" s="708"/>
      <c r="K411" s="708"/>
      <c r="L411" s="708"/>
      <c r="M411" s="708"/>
      <c r="N411" s="708"/>
      <c r="O411" s="708"/>
      <c r="P411" s="21">
        <f>IF(S417=1,0,SUMIF(S410:X410,C411,S411:X411))</f>
        <v>0</v>
      </c>
      <c r="Q411" s="2"/>
      <c r="R411" s="878"/>
      <c r="S411" s="147">
        <v>0.05</v>
      </c>
      <c r="T411" s="147">
        <v>0.1</v>
      </c>
      <c r="U411" s="557">
        <v>0.05</v>
      </c>
      <c r="V411" s="147">
        <v>0.15</v>
      </c>
      <c r="W411" s="147">
        <v>0.25</v>
      </c>
      <c r="X411" s="14"/>
      <c r="Y411" s="97"/>
      <c r="Z411" s="14"/>
      <c r="AA411" s="10"/>
      <c r="AB411" s="14"/>
      <c r="AC411" s="10"/>
      <c r="AD411" s="10"/>
      <c r="AE411" s="10"/>
      <c r="AF411" s="10"/>
      <c r="AG411" s="10"/>
      <c r="AH411" s="10"/>
      <c r="AI411" s="94">
        <f>IF(AND(AJ523=1,AK523=1),"ERROR",SUM(M520,M521,AC521))</f>
        <v>0</v>
      </c>
      <c r="AJ411" s="739" t="s">
        <v>350</v>
      </c>
      <c r="AK411" s="739"/>
      <c r="AL411" s="739"/>
      <c r="AM411" s="739"/>
      <c r="AN411" s="739"/>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s="6" customFormat="1" ht="18" customHeight="1" x14ac:dyDescent="0.3">
      <c r="A412" s="15"/>
      <c r="B412" s="1181"/>
      <c r="C412" s="940" t="str">
        <f>IF(S417=1,"",IF(P412&gt;0,"(For partial loss of both menisci, each loss is valued at 5%.)",""))</f>
        <v/>
      </c>
      <c r="D412" s="941"/>
      <c r="E412" s="941"/>
      <c r="F412" s="941"/>
      <c r="G412" s="941"/>
      <c r="H412" s="941"/>
      <c r="I412" s="941"/>
      <c r="J412" s="941"/>
      <c r="K412" s="941"/>
      <c r="L412" s="941"/>
      <c r="M412" s="941"/>
      <c r="N412" s="941"/>
      <c r="O412" s="942"/>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228" ht="18" customHeight="1" x14ac:dyDescent="0.3">
      <c r="B413" s="1350" t="str">
        <f>IF(AND(S413=1,S417=1),"Prosthetic knee replacement - no separate award is given for meniscectomy or patellectomy.","")</f>
        <v/>
      </c>
      <c r="C413" s="1297"/>
      <c r="D413" s="1297"/>
      <c r="E413" s="1297"/>
      <c r="F413" s="1297"/>
      <c r="G413" s="1297"/>
      <c r="H413" s="1297"/>
      <c r="I413" s="1297"/>
      <c r="J413" s="1297"/>
      <c r="K413" s="1297"/>
      <c r="L413" s="1297"/>
      <c r="M413" s="1297"/>
      <c r="N413" s="1297"/>
      <c r="O413" s="1297"/>
      <c r="P413" s="21">
        <f>IF($S$417=1,0,IF(OR(R413=2,R413=3,R413=4,R413=5),0.05,0))</f>
        <v>0</v>
      </c>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3">
      <c r="B414" s="1350"/>
      <c r="C414" s="1023"/>
      <c r="D414" s="1023"/>
      <c r="E414" s="1023"/>
      <c r="F414" s="1023"/>
      <c r="G414" s="1023"/>
      <c r="H414" s="1023"/>
      <c r="I414" s="1023"/>
      <c r="J414" s="1023"/>
      <c r="K414" s="1023"/>
      <c r="L414" s="1023"/>
      <c r="M414" s="1023"/>
      <c r="N414" s="1023"/>
      <c r="O414" s="1023"/>
      <c r="P414" s="21">
        <f>IF($S$417=1,0,IF(OR(R413=3,R413=4,R413=5),0.05,0))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3">
      <c r="B415" s="1350"/>
      <c r="C415" s="1023"/>
      <c r="D415" s="1023"/>
      <c r="E415" s="1023"/>
      <c r="F415" s="1023"/>
      <c r="G415" s="1023"/>
      <c r="H415" s="1023"/>
      <c r="I415" s="1023"/>
      <c r="J415" s="1023"/>
      <c r="K415" s="1023"/>
      <c r="L415" s="1023"/>
      <c r="M415" s="1023"/>
      <c r="N415" s="1023"/>
      <c r="O415" s="1023"/>
      <c r="P415" s="21">
        <f>IF($S$417=1,0,IF(OR(R413=4,R413=5),0.05,0))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3">
      <c r="B416" s="1350"/>
      <c r="C416" s="1023"/>
      <c r="D416" s="1023"/>
      <c r="E416" s="1023"/>
      <c r="F416" s="1023"/>
      <c r="G416" s="1023"/>
      <c r="H416" s="1023"/>
      <c r="I416" s="1023"/>
      <c r="J416" s="1023"/>
      <c r="K416" s="1023"/>
      <c r="L416" s="1023"/>
      <c r="M416" s="1023"/>
      <c r="N416" s="1023"/>
      <c r="O416" s="1023"/>
      <c r="P416" s="21">
        <f>IF($S$417=1,0,IF(R413=5,0.05,0))</f>
        <v>0</v>
      </c>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3">
      <c r="B417" s="1350"/>
      <c r="C417" s="51"/>
      <c r="D417" s="806" t="s">
        <v>1859</v>
      </c>
      <c r="E417" s="806"/>
      <c r="F417" s="806"/>
      <c r="G417" s="806"/>
      <c r="H417" s="806"/>
      <c r="I417" s="806"/>
      <c r="J417" s="806"/>
      <c r="K417" s="806"/>
      <c r="L417" s="806"/>
      <c r="M417" s="806"/>
      <c r="N417" s="806"/>
      <c r="O417" s="806"/>
      <c r="P417" s="21">
        <f>IF(S417=1,0.2,0)</f>
        <v>0</v>
      </c>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8" customHeight="1" x14ac:dyDescent="0.3">
      <c r="B418" s="1350"/>
      <c r="C418" s="51"/>
      <c r="D418" s="806" t="s">
        <v>1860</v>
      </c>
      <c r="E418" s="806"/>
      <c r="F418" s="806"/>
      <c r="G418" s="806"/>
      <c r="H418" s="806"/>
      <c r="I418" s="806"/>
      <c r="J418" s="806"/>
      <c r="K418" s="806"/>
      <c r="L418" s="806"/>
      <c r="M418" s="806"/>
      <c r="N418" s="806"/>
      <c r="O418" s="806"/>
      <c r="P418" s="21">
        <f>IF(S418=1,0.15,0)</f>
        <v>0</v>
      </c>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2" customHeight="1" x14ac:dyDescent="0.3">
      <c r="B419" s="1169"/>
      <c r="C419" s="1169"/>
      <c r="D419" s="1169"/>
      <c r="E419" s="1169"/>
      <c r="F419" s="1169"/>
      <c r="G419" s="1169"/>
      <c r="H419" s="1169"/>
      <c r="I419" s="1169"/>
      <c r="J419" s="1169"/>
      <c r="K419" s="1169"/>
      <c r="L419" s="1169"/>
      <c r="M419" s="1169"/>
      <c r="N419" s="1169"/>
      <c r="O419" s="1169"/>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3">
      <c r="B420" s="776" t="s">
        <v>223</v>
      </c>
      <c r="C420" s="776"/>
      <c r="D420" s="776"/>
      <c r="E420" s="776"/>
      <c r="F420" s="776"/>
      <c r="G420" s="776"/>
      <c r="H420" s="776"/>
      <c r="I420" s="776"/>
      <c r="J420" s="776"/>
      <c r="K420" s="776"/>
      <c r="L420" s="776"/>
      <c r="M420" s="776"/>
      <c r="N420" s="708"/>
      <c r="O420" s="708"/>
      <c r="P420" s="21">
        <f>IF(N420=S420,0.03,IF(N420=T420,0.15,IF(N420=U420,0.38,IF(N420=V420,0.68,IF(N420=W420,0.9,0)))))</f>
        <v>0</v>
      </c>
      <c r="R420" s="947" t="s">
        <v>2196</v>
      </c>
      <c r="S420" s="50" t="s">
        <v>1968</v>
      </c>
      <c r="T420" s="50" t="s">
        <v>1969</v>
      </c>
      <c r="U420" s="147" t="s">
        <v>1971</v>
      </c>
      <c r="V420" s="50" t="s">
        <v>945</v>
      </c>
      <c r="W420" s="147" t="s">
        <v>558</v>
      </c>
      <c r="X420" s="10"/>
      <c r="Y420" s="10"/>
      <c r="Z420" s="10"/>
      <c r="AA420" s="14"/>
      <c r="AB420" s="10"/>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ht="18" customHeight="1" x14ac:dyDescent="0.3">
      <c r="B421" s="776" t="s">
        <v>738</v>
      </c>
      <c r="C421" s="776"/>
      <c r="D421" s="776"/>
      <c r="E421" s="776"/>
      <c r="F421" s="776"/>
      <c r="G421" s="776"/>
      <c r="H421" s="776"/>
      <c r="I421" s="776"/>
      <c r="J421" s="776"/>
      <c r="K421" s="776"/>
      <c r="L421" s="776"/>
      <c r="M421" s="776"/>
      <c r="N421" s="708"/>
      <c r="O421" s="708"/>
      <c r="P421" s="21">
        <f>IF(N421=S420,0.03,IF(N421=T420,0.15,IF(N421=U420,0.35,IF(N421=V420,0.63,IF(N421=W420,0.88,0)))))</f>
        <v>0</v>
      </c>
      <c r="R421" s="947"/>
      <c r="S421" s="14"/>
      <c r="T421" s="14"/>
      <c r="U421" s="14"/>
      <c r="V421" s="14"/>
      <c r="W421" s="14"/>
      <c r="X421" s="10"/>
      <c r="Y421" s="14"/>
      <c r="Z421" s="14"/>
      <c r="AA421" s="14"/>
      <c r="AB421" s="14"/>
      <c r="AC421" s="14"/>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x14ac:dyDescent="0.3">
      <c r="B422" s="792"/>
      <c r="C422" s="792"/>
      <c r="D422" s="792"/>
      <c r="E422" s="792"/>
      <c r="F422" s="792"/>
      <c r="G422" s="792"/>
      <c r="H422" s="792"/>
      <c r="I422" s="792"/>
      <c r="J422" s="792"/>
      <c r="K422" s="792"/>
      <c r="L422" s="792"/>
      <c r="M422" s="792"/>
      <c r="N422" s="792"/>
      <c r="O422" s="792"/>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18" customHeight="1" x14ac:dyDescent="0.3">
      <c r="B423" s="1156" t="s">
        <v>739</v>
      </c>
      <c r="C423" s="925"/>
      <c r="D423" s="925"/>
      <c r="E423" s="925"/>
      <c r="F423" s="925"/>
      <c r="G423" s="925"/>
      <c r="H423" s="925"/>
      <c r="I423" s="925"/>
      <c r="J423" s="925"/>
      <c r="K423" s="925"/>
      <c r="L423" s="925"/>
      <c r="M423" s="925"/>
      <c r="N423" s="925"/>
      <c r="O423" s="925"/>
      <c r="P423" s="300"/>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27" customHeight="1" x14ac:dyDescent="0.3">
      <c r="A424" s="15"/>
      <c r="B424" s="473" t="s">
        <v>1767</v>
      </c>
      <c r="C424" s="1311" t="s">
        <v>2021</v>
      </c>
      <c r="D424" s="1312"/>
      <c r="E424" s="1312"/>
      <c r="F424" s="1312"/>
      <c r="G424" s="1312"/>
      <c r="H424" s="1312"/>
      <c r="I424" s="1312"/>
      <c r="J424" s="1312"/>
      <c r="K424" s="1312"/>
      <c r="L424" s="1312"/>
      <c r="M424" s="1312"/>
      <c r="N424" s="1312"/>
      <c r="O424" s="1317"/>
      <c r="P424" s="925"/>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37.5" customHeight="1" x14ac:dyDescent="0.3">
      <c r="B425" s="474"/>
      <c r="C425" s="1311" t="s">
        <v>2022</v>
      </c>
      <c r="D425" s="1312"/>
      <c r="E425" s="1312"/>
      <c r="F425" s="1312"/>
      <c r="G425" s="1312"/>
      <c r="H425" s="1312"/>
      <c r="I425" s="1312"/>
      <c r="J425" s="1312"/>
      <c r="K425" s="1312"/>
      <c r="L425" s="1312"/>
      <c r="M425" s="1312"/>
      <c r="N425" s="1312"/>
      <c r="O425" s="1317"/>
      <c r="P425" s="925"/>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3">
      <c r="B426" s="474"/>
      <c r="C426" s="1320" t="s">
        <v>2023</v>
      </c>
      <c r="D426" s="1321"/>
      <c r="E426" s="1321"/>
      <c r="F426" s="1321"/>
      <c r="G426" s="1321"/>
      <c r="H426" s="1321"/>
      <c r="I426" s="1321"/>
      <c r="J426" s="1321"/>
      <c r="K426" s="1321"/>
      <c r="L426" s="1321"/>
      <c r="M426" s="1321"/>
      <c r="N426" s="1321"/>
      <c r="O426" s="1322"/>
      <c r="P426" s="925"/>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27" customHeight="1" x14ac:dyDescent="0.3">
      <c r="B427" s="475"/>
      <c r="C427" s="1311" t="s">
        <v>2024</v>
      </c>
      <c r="D427" s="1312"/>
      <c r="E427" s="1312"/>
      <c r="F427" s="1312"/>
      <c r="G427" s="1312"/>
      <c r="H427" s="1312"/>
      <c r="I427" s="1312"/>
      <c r="J427" s="1312"/>
      <c r="K427" s="1312"/>
      <c r="L427" s="1312"/>
      <c r="M427" s="1312"/>
      <c r="N427" s="1312"/>
      <c r="O427" s="1312"/>
      <c r="P427" s="21">
        <f>IF(R426=1,0.23,IF(R426=2,0.48,IF(R426=3,0.76,IF(R426=4,1,0))))</f>
        <v>0</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2" customHeight="1" x14ac:dyDescent="0.3">
      <c r="B428" s="792"/>
      <c r="C428" s="792"/>
      <c r="D428" s="792"/>
      <c r="E428" s="792"/>
      <c r="F428" s="792"/>
      <c r="G428" s="792"/>
      <c r="H428" s="792"/>
      <c r="I428" s="792"/>
      <c r="J428" s="792"/>
      <c r="K428" s="792"/>
      <c r="L428" s="792"/>
      <c r="M428" s="792"/>
      <c r="N428" s="792"/>
      <c r="O428" s="79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3">
      <c r="B429" s="1189" t="s">
        <v>700</v>
      </c>
      <c r="C429" s="1189"/>
      <c r="D429" s="1189"/>
      <c r="E429" s="1189"/>
      <c r="F429" s="1189"/>
      <c r="G429" s="1201"/>
      <c r="H429" s="1201"/>
      <c r="I429" s="1201"/>
      <c r="J429" s="1201"/>
      <c r="K429" s="1201"/>
      <c r="L429" s="1201"/>
      <c r="M429" s="1201"/>
      <c r="N429" s="1201"/>
      <c r="O429" s="1201"/>
      <c r="P429" s="30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3">
      <c r="B430" s="1312" t="s">
        <v>2237</v>
      </c>
      <c r="C430" s="1312"/>
      <c r="D430" s="1312"/>
      <c r="E430" s="1023"/>
      <c r="F430" s="1083"/>
      <c r="G430" s="764" t="s">
        <v>975</v>
      </c>
      <c r="H430" s="765"/>
      <c r="I430" s="765"/>
      <c r="J430" s="765"/>
      <c r="K430" s="765"/>
      <c r="L430" s="765"/>
      <c r="M430" s="765"/>
      <c r="N430" s="765"/>
      <c r="O430" s="766"/>
      <c r="P430" s="744">
        <f>U436</f>
        <v>0</v>
      </c>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3">
      <c r="A431" s="15"/>
      <c r="B431" s="1312"/>
      <c r="C431" s="1312"/>
      <c r="D431" s="1312"/>
      <c r="E431" s="1023"/>
      <c r="F431" s="1083"/>
      <c r="G431" s="833" t="s">
        <v>976</v>
      </c>
      <c r="H431" s="713"/>
      <c r="I431" s="713"/>
      <c r="J431" s="713"/>
      <c r="K431" s="713"/>
      <c r="L431" s="713"/>
      <c r="M431" s="713"/>
      <c r="N431" s="713"/>
      <c r="O431" s="834"/>
      <c r="P431" s="752"/>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3">
      <c r="B432" s="1312"/>
      <c r="C432" s="1312"/>
      <c r="D432" s="1312"/>
      <c r="E432" s="1023"/>
      <c r="F432" s="1083"/>
      <c r="G432" s="833" t="s">
        <v>977</v>
      </c>
      <c r="H432" s="713"/>
      <c r="I432" s="713"/>
      <c r="J432" s="713"/>
      <c r="K432" s="713"/>
      <c r="L432" s="713"/>
      <c r="M432" s="713"/>
      <c r="N432" s="713"/>
      <c r="O432" s="834"/>
      <c r="P432" s="752"/>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3">
      <c r="B433" s="1312"/>
      <c r="C433" s="1312"/>
      <c r="D433" s="1312"/>
      <c r="E433" s="1297"/>
      <c r="F433" s="1024"/>
      <c r="G433" s="1338" t="s">
        <v>978</v>
      </c>
      <c r="H433" s="1339"/>
      <c r="I433" s="1339"/>
      <c r="J433" s="1339"/>
      <c r="K433" s="1339"/>
      <c r="L433" s="1339"/>
      <c r="M433" s="1339"/>
      <c r="N433" s="1339"/>
      <c r="O433" s="1340"/>
      <c r="P433" s="752"/>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3">
      <c r="B434" s="1312"/>
      <c r="C434" s="1312"/>
      <c r="D434" s="1312"/>
      <c r="E434" s="1023"/>
      <c r="F434" s="1083"/>
      <c r="G434" s="1170" t="s">
        <v>979</v>
      </c>
      <c r="H434" s="1171"/>
      <c r="I434" s="1171"/>
      <c r="J434" s="1171"/>
      <c r="K434" s="1171"/>
      <c r="L434" s="1171"/>
      <c r="M434" s="1171"/>
      <c r="N434" s="1171"/>
      <c r="O434" s="1172"/>
      <c r="P434" s="752"/>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3">
      <c r="B435" s="1312"/>
      <c r="C435" s="1312"/>
      <c r="D435" s="1312"/>
      <c r="E435" s="1023"/>
      <c r="F435" s="1083"/>
      <c r="G435" s="1170" t="s">
        <v>1861</v>
      </c>
      <c r="H435" s="1171"/>
      <c r="I435" s="1171"/>
      <c r="J435" s="1171"/>
      <c r="K435" s="1171"/>
      <c r="L435" s="1171"/>
      <c r="M435" s="1171"/>
      <c r="N435" s="1171"/>
      <c r="O435" s="1172"/>
      <c r="P435" s="752"/>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8" customHeight="1" x14ac:dyDescent="0.3">
      <c r="B436" s="1312"/>
      <c r="C436" s="1312"/>
      <c r="D436" s="1312"/>
      <c r="E436" s="1023"/>
      <c r="F436" s="1083"/>
      <c r="G436" s="1222" t="s">
        <v>1598</v>
      </c>
      <c r="H436" s="1223"/>
      <c r="I436" s="1223"/>
      <c r="J436" s="1223"/>
      <c r="K436" s="1223"/>
      <c r="L436" s="1223"/>
      <c r="M436" s="1223"/>
      <c r="N436" s="1223"/>
      <c r="O436" s="1236"/>
      <c r="P436" s="752"/>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2" customHeight="1" x14ac:dyDescent="0.3">
      <c r="B437" s="792"/>
      <c r="C437" s="792"/>
      <c r="D437" s="792"/>
      <c r="E437" s="792"/>
      <c r="F437" s="792"/>
      <c r="G437" s="792"/>
      <c r="H437" s="792"/>
      <c r="I437" s="792"/>
      <c r="J437" s="792"/>
      <c r="K437" s="792"/>
      <c r="L437" s="792"/>
      <c r="M437" s="792"/>
      <c r="N437" s="792"/>
      <c r="O437" s="79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18" customHeight="1" x14ac:dyDescent="0.3">
      <c r="B438" s="1189" t="s">
        <v>700</v>
      </c>
      <c r="C438" s="1189"/>
      <c r="D438" s="1189"/>
      <c r="E438" s="1189"/>
      <c r="F438" s="1189"/>
      <c r="G438" s="1189"/>
      <c r="H438" s="1189"/>
      <c r="I438" s="1189"/>
      <c r="J438" s="1189"/>
      <c r="K438" s="1189"/>
      <c r="L438" s="1189"/>
      <c r="M438" s="1189"/>
      <c r="N438" s="1189"/>
      <c r="O438" s="1189"/>
      <c r="P438" s="30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39" customHeight="1" x14ac:dyDescent="0.3">
      <c r="A439" s="15"/>
      <c r="B439" s="1294" t="s">
        <v>2026</v>
      </c>
      <c r="C439" s="1295"/>
      <c r="D439" s="1295"/>
      <c r="E439" s="1295"/>
      <c r="F439" s="1295"/>
      <c r="G439" s="1295"/>
      <c r="H439" s="1295"/>
      <c r="I439" s="1295"/>
      <c r="J439" s="1295"/>
      <c r="K439" s="1295"/>
      <c r="L439" s="1295"/>
      <c r="M439" s="1296"/>
      <c r="N439" s="1023"/>
      <c r="O439" s="1023"/>
      <c r="P439" s="82">
        <f>IF(R439=1,0.15,0)</f>
        <v>0</v>
      </c>
      <c r="R439" s="555">
        <v>2</v>
      </c>
      <c r="S439" s="10"/>
      <c r="T439" s="10"/>
      <c r="U439" s="10"/>
      <c r="V439" s="10"/>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9" customHeight="1" x14ac:dyDescent="0.3">
      <c r="B440" s="792"/>
      <c r="C440" s="792"/>
      <c r="D440" s="792"/>
      <c r="E440" s="792"/>
      <c r="F440" s="792"/>
      <c r="G440" s="792"/>
      <c r="H440" s="792"/>
      <c r="I440" s="792"/>
      <c r="J440" s="792"/>
      <c r="K440" s="792"/>
      <c r="L440" s="792"/>
      <c r="M440" s="792"/>
      <c r="N440" s="792"/>
      <c r="O440" s="792"/>
      <c r="P440" s="79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18" customHeight="1" x14ac:dyDescent="0.3">
      <c r="B441" s="927" t="s">
        <v>1240</v>
      </c>
      <c r="C441" s="925"/>
      <c r="D441" s="925"/>
      <c r="E441" s="925"/>
      <c r="F441" s="925"/>
      <c r="G441" s="925"/>
      <c r="H441" s="925"/>
      <c r="I441" s="925"/>
      <c r="J441" s="925"/>
      <c r="K441" s="925"/>
      <c r="L441" s="925"/>
      <c r="M441" s="925"/>
      <c r="N441" s="925"/>
      <c r="O441" s="925"/>
      <c r="P441" s="925"/>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40.5" customHeight="1" x14ac:dyDescent="0.3">
      <c r="B442" s="776" t="s">
        <v>586</v>
      </c>
      <c r="C442" s="776"/>
      <c r="D442" s="776"/>
      <c r="E442" s="776"/>
      <c r="F442" s="776"/>
      <c r="G442" s="776"/>
      <c r="H442" s="776"/>
      <c r="I442" s="776"/>
      <c r="J442" s="776"/>
      <c r="K442" s="776"/>
      <c r="L442" s="776"/>
      <c r="M442" s="776"/>
      <c r="N442" s="776"/>
      <c r="O442" s="776"/>
      <c r="P442" s="925"/>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8" customHeight="1" x14ac:dyDescent="0.3">
      <c r="A443" s="15"/>
      <c r="B443" s="971" t="s">
        <v>1241</v>
      </c>
      <c r="C443" s="971"/>
      <c r="D443" s="971"/>
      <c r="E443" s="971"/>
      <c r="F443" s="971"/>
      <c r="G443" s="971"/>
      <c r="H443" s="971"/>
      <c r="I443" s="971"/>
      <c r="J443" s="971"/>
      <c r="K443" s="971"/>
      <c r="L443" s="971"/>
      <c r="M443" s="971"/>
      <c r="N443" s="934"/>
      <c r="O443" s="934"/>
      <c r="P443" s="21">
        <f>IF(R443=1,0.05,0)</f>
        <v>0</v>
      </c>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2" customHeight="1" x14ac:dyDescent="0.3">
      <c r="B444" s="792"/>
      <c r="C444" s="792"/>
      <c r="D444" s="792"/>
      <c r="E444" s="792"/>
      <c r="F444" s="792"/>
      <c r="G444" s="792"/>
      <c r="H444" s="792"/>
      <c r="I444" s="792"/>
      <c r="J444" s="792"/>
      <c r="K444" s="792"/>
      <c r="L444" s="792"/>
      <c r="M444" s="792"/>
      <c r="N444" s="792"/>
      <c r="O444" s="79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8" customHeight="1" x14ac:dyDescent="0.3">
      <c r="B445" s="925" t="s">
        <v>1242</v>
      </c>
      <c r="C445" s="925"/>
      <c r="D445" s="925"/>
      <c r="E445" s="925"/>
      <c r="F445" s="925"/>
      <c r="G445" s="925"/>
      <c r="H445" s="925"/>
      <c r="I445" s="925"/>
      <c r="J445" s="925"/>
      <c r="K445" s="925"/>
      <c r="L445" s="925"/>
      <c r="M445" s="925"/>
      <c r="N445" s="925"/>
      <c r="O445" s="925"/>
      <c r="P445" s="146"/>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5" customHeight="1" x14ac:dyDescent="0.3">
      <c r="B446" s="292" t="s">
        <v>476</v>
      </c>
      <c r="C446" s="1190">
        <f>IF(SUM($E$449:$E$470)&gt;0,P341,0)</f>
        <v>0</v>
      </c>
      <c r="D446" s="1191"/>
      <c r="E446" s="1191"/>
      <c r="F446" s="1189" t="s">
        <v>1164</v>
      </c>
      <c r="G446" s="1189"/>
      <c r="H446" s="1189"/>
      <c r="I446" s="1189"/>
      <c r="J446" s="1189"/>
      <c r="K446" s="1189"/>
      <c r="L446" s="1190">
        <f>LETable!AT68</f>
        <v>0</v>
      </c>
      <c r="M446" s="1190"/>
      <c r="N446" s="1189" t="s">
        <v>1243</v>
      </c>
      <c r="O446" s="1189"/>
      <c r="P446" s="82">
        <f>SUM(L446:L446)</f>
        <v>0</v>
      </c>
      <c r="R446" s="10"/>
      <c r="S446" s="10"/>
      <c r="T446" s="10"/>
      <c r="U446" s="10"/>
      <c r="V446" s="10"/>
      <c r="W446" s="10"/>
      <c r="X446" s="10"/>
      <c r="Y446" s="940" t="s">
        <v>1004</v>
      </c>
      <c r="Z446" s="942"/>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12" customHeight="1" x14ac:dyDescent="0.3">
      <c r="B447" s="792"/>
      <c r="C447" s="792"/>
      <c r="D447" s="792"/>
      <c r="E447" s="792"/>
      <c r="F447" s="792"/>
      <c r="G447" s="792"/>
      <c r="H447" s="792"/>
      <c r="I447" s="792"/>
      <c r="J447" s="792"/>
      <c r="K447" s="792"/>
      <c r="L447" s="792"/>
      <c r="M447" s="792"/>
      <c r="N447" s="792"/>
      <c r="O447" s="792"/>
      <c r="R447" s="10"/>
      <c r="S447" s="10"/>
      <c r="T447" s="10"/>
      <c r="U447" s="10"/>
      <c r="V447" s="10"/>
      <c r="W447" s="10"/>
      <c r="X447" s="10"/>
      <c r="Y447" s="18">
        <f>Y449+Y448</f>
        <v>0</v>
      </c>
      <c r="Z447" s="50" t="s">
        <v>1910</v>
      </c>
      <c r="AA447" s="10"/>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27" customHeight="1" x14ac:dyDescent="0.3">
      <c r="B448" s="879" t="s">
        <v>1244</v>
      </c>
      <c r="C448" s="880"/>
      <c r="D448" s="880"/>
      <c r="E448" s="880"/>
      <c r="F448" s="880"/>
      <c r="G448" s="922" t="s">
        <v>1524</v>
      </c>
      <c r="H448" s="941"/>
      <c r="I448" s="941"/>
      <c r="J448" s="941"/>
      <c r="K448" s="942"/>
      <c r="L448" s="1033"/>
      <c r="M448" s="1034"/>
      <c r="N448" s="1034"/>
      <c r="O448" s="1035"/>
      <c r="P448" s="872">
        <f>IF(J472&gt;0,J472,V470)</f>
        <v>0</v>
      </c>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3">
      <c r="B449" s="757" t="s">
        <v>1525</v>
      </c>
      <c r="C449" s="758"/>
      <c r="D449" s="759"/>
      <c r="E449" s="742">
        <f>P373</f>
        <v>0</v>
      </c>
      <c r="F449" s="744"/>
      <c r="G449" s="940" t="s">
        <v>1941</v>
      </c>
      <c r="H449" s="941"/>
      <c r="I449" s="942"/>
      <c r="J449" s="1141"/>
      <c r="K449" s="1192"/>
      <c r="L449" s="649"/>
      <c r="M449" s="643"/>
      <c r="N449" s="643"/>
      <c r="O449" s="644"/>
      <c r="P449" s="1091"/>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3">
      <c r="B450" s="757" t="s">
        <v>1526</v>
      </c>
      <c r="C450" s="758"/>
      <c r="D450" s="759"/>
      <c r="E450" s="742">
        <f>IF(P427&gt;0,0,P381)</f>
        <v>0</v>
      </c>
      <c r="F450" s="744"/>
      <c r="G450" s="960"/>
      <c r="H450" s="1182"/>
      <c r="I450" s="1183"/>
      <c r="J450" s="1188">
        <f>IF(AND(Y450&lt;0.01,Y450&gt;0),0.01,ROUND(Y450,2))</f>
        <v>0</v>
      </c>
      <c r="K450" s="1193"/>
      <c r="L450" s="1006" t="str">
        <f>IF(AND(Y449=1,G450&gt;0),"Ankylosis cannot be apportioned.","")</f>
        <v/>
      </c>
      <c r="M450" s="1007"/>
      <c r="N450" s="1007"/>
      <c r="O450" s="1008"/>
      <c r="P450" s="1091"/>
      <c r="R450" s="10"/>
      <c r="S450" s="147">
        <f>IF(J450&gt;0,J450,E450)</f>
        <v>0</v>
      </c>
      <c r="T450" s="147">
        <f>LARGE($S$449:$S$471,2)</f>
        <v>0</v>
      </c>
      <c r="U450" s="553">
        <f>V449+T451*(1-V449)</f>
        <v>0</v>
      </c>
      <c r="V450" s="617">
        <f t="shared" si="64"/>
        <v>0</v>
      </c>
      <c r="W450" s="595" t="s">
        <v>1895</v>
      </c>
      <c r="X450" s="10"/>
      <c r="Y450" s="21">
        <f>IF(Y449=1,0,G450*E450)</f>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3">
      <c r="B451" s="757" t="s">
        <v>1527</v>
      </c>
      <c r="C451" s="758"/>
      <c r="D451" s="759"/>
      <c r="E451" s="742">
        <f>IF(P427&gt;0,0,P388)</f>
        <v>0</v>
      </c>
      <c r="F451" s="744"/>
      <c r="G451" s="960"/>
      <c r="H451" s="1182"/>
      <c r="I451" s="1183"/>
      <c r="J451" s="1188">
        <f>IF(AND(Y451&lt;0.01,Y451&gt;0),0.01,ROUND(Y451,2))</f>
        <v>0</v>
      </c>
      <c r="K451" s="1193"/>
      <c r="L451" s="633"/>
      <c r="M451" s="634"/>
      <c r="N451" s="634"/>
      <c r="O451" s="635"/>
      <c r="P451" s="1091"/>
      <c r="R451" s="10"/>
      <c r="S451" s="147">
        <f>IF(J451&gt;0,J451,E451)</f>
        <v>0</v>
      </c>
      <c r="T451" s="147">
        <f>LARGE($S$449:$S$471,3)</f>
        <v>0</v>
      </c>
      <c r="U451" s="553">
        <f>V450+T452*(1-V450)</f>
        <v>0</v>
      </c>
      <c r="V451" s="617">
        <f t="shared" si="64"/>
        <v>0</v>
      </c>
      <c r="W451" s="386">
        <f>IF(P439&gt;0,3,0)</f>
        <v>0</v>
      </c>
      <c r="X451" s="10"/>
      <c r="Y451" s="21">
        <f>G451*E451</f>
        <v>0</v>
      </c>
      <c r="Z451" s="10"/>
      <c r="AA451" s="10"/>
      <c r="AB451" s="6"/>
      <c r="AC451" s="6"/>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3">
      <c r="B452" s="757" t="s">
        <v>1528</v>
      </c>
      <c r="C452" s="758"/>
      <c r="D452" s="759"/>
      <c r="E452" s="742">
        <f>P392</f>
        <v>0</v>
      </c>
      <c r="F452" s="744"/>
      <c r="G452" s="940" t="s">
        <v>1941</v>
      </c>
      <c r="H452" s="941"/>
      <c r="I452" s="942"/>
      <c r="J452" s="1141"/>
      <c r="K452" s="1192"/>
      <c r="L452" s="633"/>
      <c r="M452" s="634"/>
      <c r="N452" s="634"/>
      <c r="O452" s="635"/>
      <c r="P452" s="1091"/>
      <c r="R452" s="10"/>
      <c r="S452" s="557">
        <f>E452</f>
        <v>0</v>
      </c>
      <c r="T452" s="147">
        <f>LARGE($S$449:$S$471,4)</f>
        <v>0</v>
      </c>
      <c r="U452" s="553">
        <f>V451+T453*(1-V451)</f>
        <v>0</v>
      </c>
      <c r="V452" s="617">
        <f t="shared" si="64"/>
        <v>0</v>
      </c>
      <c r="W452" s="595" t="s">
        <v>1898</v>
      </c>
      <c r="X452" s="10"/>
      <c r="Y452" s="199"/>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3">
      <c r="B453" s="1314" t="s">
        <v>1529</v>
      </c>
      <c r="C453" s="1315"/>
      <c r="D453" s="1316"/>
      <c r="E453" s="742">
        <f>P401</f>
        <v>0</v>
      </c>
      <c r="F453" s="744"/>
      <c r="G453" s="960"/>
      <c r="H453" s="1182"/>
      <c r="I453" s="1183"/>
      <c r="J453" s="1188">
        <f>IF(AND(Y453&lt;0.01,Y453&gt;0),0.01,ROUND(Y453,2))</f>
        <v>0</v>
      </c>
      <c r="K453" s="1193"/>
      <c r="L453" s="1006"/>
      <c r="M453" s="1007"/>
      <c r="N453" s="1007"/>
      <c r="O453" s="1008"/>
      <c r="P453" s="1091"/>
      <c r="R453" s="10"/>
      <c r="S453" s="147">
        <f>IF(J453&gt;0,J453,E453)</f>
        <v>0</v>
      </c>
      <c r="T453" s="147">
        <f>LARGE($S$449:$S$471,5)</f>
        <v>0</v>
      </c>
      <c r="U453" s="553">
        <f>V452+T454*(1-V452)</f>
        <v>0</v>
      </c>
      <c r="V453" s="617">
        <f t="shared" si="64"/>
        <v>0</v>
      </c>
      <c r="W453" s="386">
        <f>IF(P338&gt;0,5,0)</f>
        <v>0</v>
      </c>
      <c r="X453" s="10"/>
      <c r="Y453" s="21">
        <f>G453*E453</f>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3">
      <c r="B454" s="1314" t="s">
        <v>1530</v>
      </c>
      <c r="C454" s="1315"/>
      <c r="D454" s="1316"/>
      <c r="E454" s="742">
        <f>P404</f>
        <v>0</v>
      </c>
      <c r="F454" s="744"/>
      <c r="G454" s="940" t="s">
        <v>1941</v>
      </c>
      <c r="H454" s="941"/>
      <c r="I454" s="942"/>
      <c r="J454" s="1141"/>
      <c r="K454" s="1192"/>
      <c r="L454" s="1006"/>
      <c r="M454" s="1007"/>
      <c r="N454" s="1007"/>
      <c r="O454" s="1008"/>
      <c r="P454" s="1091"/>
      <c r="R454" s="10"/>
      <c r="S454" s="557">
        <f t="shared" ref="S454:S463" si="65">E454</f>
        <v>0</v>
      </c>
      <c r="T454" s="147">
        <f>LARGE($S$449:$S$471,6)</f>
        <v>0</v>
      </c>
      <c r="U454" s="553">
        <f>V453+T455*(1-V453)</f>
        <v>0</v>
      </c>
      <c r="V454" s="617">
        <f t="shared" si="64"/>
        <v>0</v>
      </c>
      <c r="W454" s="234" t="s">
        <v>596</v>
      </c>
      <c r="X454" s="10"/>
      <c r="Y454" s="199"/>
      <c r="Z454" s="10"/>
      <c r="AA454" s="6"/>
      <c r="AB454" s="6"/>
      <c r="AC454" s="6"/>
      <c r="AD454" s="6"/>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3">
      <c r="B455" s="1314" t="s">
        <v>1531</v>
      </c>
      <c r="C455" s="1315"/>
      <c r="D455" s="1316"/>
      <c r="E455" s="742">
        <f>P407</f>
        <v>0</v>
      </c>
      <c r="F455" s="744"/>
      <c r="G455" s="940" t="s">
        <v>1941</v>
      </c>
      <c r="H455" s="941"/>
      <c r="I455" s="942"/>
      <c r="J455" s="1141"/>
      <c r="K455" s="1192"/>
      <c r="L455" s="1006"/>
      <c r="M455" s="1007"/>
      <c r="N455" s="1007"/>
      <c r="O455" s="1008"/>
      <c r="P455" s="1091"/>
      <c r="R455" s="10"/>
      <c r="S455" s="557">
        <f t="shared" si="65"/>
        <v>0</v>
      </c>
      <c r="T455" s="147">
        <f>LARGE($S$449:$S$471,7)</f>
        <v>0</v>
      </c>
      <c r="U455" s="553">
        <f t="shared" ref="U455:U470" si="66">V454+T456*(1-V454)</f>
        <v>0</v>
      </c>
      <c r="V455" s="617">
        <f t="shared" si="64"/>
        <v>0</v>
      </c>
      <c r="W455" s="386">
        <f>IF(OR(P267&gt;0,P443&gt;0),1,0)</f>
        <v>0</v>
      </c>
      <c r="X455" s="10"/>
      <c r="Y455" s="199"/>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3">
      <c r="B456" s="1314" t="str">
        <f>IF(P412&gt;0,"Surgery: Partial loss of one menisus","Surgery: Menisci")</f>
        <v>Surgery: Menisci</v>
      </c>
      <c r="C456" s="1315"/>
      <c r="D456" s="1316"/>
      <c r="E456" s="742">
        <f>P411</f>
        <v>0</v>
      </c>
      <c r="F456" s="744"/>
      <c r="G456" s="940" t="s">
        <v>1941</v>
      </c>
      <c r="H456" s="941"/>
      <c r="I456" s="942"/>
      <c r="J456" s="1141"/>
      <c r="K456" s="1192"/>
      <c r="L456" s="1006"/>
      <c r="M456" s="1007"/>
      <c r="N456" s="1007"/>
      <c r="O456" s="1008"/>
      <c r="P456" s="1091"/>
      <c r="R456" s="10"/>
      <c r="S456" s="557">
        <f t="shared" si="65"/>
        <v>0</v>
      </c>
      <c r="T456" s="147">
        <f>LARGE($S$449:$S$471,8)</f>
        <v>0</v>
      </c>
      <c r="U456" s="553">
        <f t="shared" si="66"/>
        <v>0</v>
      </c>
      <c r="V456" s="617">
        <f t="shared" si="64"/>
        <v>0</v>
      </c>
      <c r="W456" s="595" t="s">
        <v>2239</v>
      </c>
      <c r="X456" s="10"/>
      <c r="Y456" s="199"/>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3">
      <c r="B457" s="1314" t="str">
        <f>IF(P412&gt;0,"Surgery: Partial loss of 2nd meniscus","")</f>
        <v/>
      </c>
      <c r="C457" s="1315"/>
      <c r="D457" s="1316"/>
      <c r="E457" s="742">
        <f>P412</f>
        <v>0</v>
      </c>
      <c r="F457" s="744"/>
      <c r="G457" s="940" t="s">
        <v>1941</v>
      </c>
      <c r="H457" s="941"/>
      <c r="I457" s="942"/>
      <c r="J457" s="1192"/>
      <c r="K457" s="1194"/>
      <c r="L457" s="1006"/>
      <c r="M457" s="1007"/>
      <c r="N457" s="1007"/>
      <c r="O457" s="1008"/>
      <c r="P457" s="1091"/>
      <c r="R457" s="10"/>
      <c r="S457" s="557">
        <f t="shared" si="65"/>
        <v>0</v>
      </c>
      <c r="T457" s="147">
        <f>LARGE($S$449:$S$471,9)</f>
        <v>0</v>
      </c>
      <c r="U457" s="553">
        <f t="shared" si="66"/>
        <v>0</v>
      </c>
      <c r="V457" s="617">
        <f t="shared" si="64"/>
        <v>0</v>
      </c>
      <c r="W457" s="386">
        <f>SUM(W449,W451,W453,W455)</f>
        <v>0</v>
      </c>
      <c r="X457" s="10"/>
      <c r="Y457" s="199"/>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3">
      <c r="B458" s="757" t="s">
        <v>1915</v>
      </c>
      <c r="C458" s="758"/>
      <c r="D458" s="759"/>
      <c r="E458" s="742">
        <f t="shared" ref="E458:E463" si="67">P413</f>
        <v>0</v>
      </c>
      <c r="F458" s="744"/>
      <c r="G458" s="940" t="s">
        <v>1941</v>
      </c>
      <c r="H458" s="941"/>
      <c r="I458" s="942"/>
      <c r="J458" s="1141"/>
      <c r="K458" s="1192"/>
      <c r="L458" s="1006"/>
      <c r="M458" s="1007"/>
      <c r="N458" s="1007"/>
      <c r="O458" s="1008"/>
      <c r="P458" s="1091"/>
      <c r="R458" s="10"/>
      <c r="S458" s="557">
        <f t="shared" si="65"/>
        <v>0</v>
      </c>
      <c r="T458" s="147">
        <f>LARGE($S$449:$S$471,10)</f>
        <v>0</v>
      </c>
      <c r="U458" s="553">
        <f t="shared" si="66"/>
        <v>0</v>
      </c>
      <c r="V458" s="557">
        <f t="shared" si="64"/>
        <v>0</v>
      </c>
      <c r="W458" s="1156" t="s">
        <v>987</v>
      </c>
      <c r="X458" s="10"/>
      <c r="Y458" s="199"/>
      <c r="Z458" s="10"/>
      <c r="AA458" s="10"/>
      <c r="AB458" s="6"/>
      <c r="AC458" s="6"/>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3">
      <c r="B459" s="757" t="s">
        <v>1916</v>
      </c>
      <c r="C459" s="758"/>
      <c r="D459" s="759"/>
      <c r="E459" s="742">
        <f t="shared" si="67"/>
        <v>0</v>
      </c>
      <c r="F459" s="744"/>
      <c r="G459" s="940" t="s">
        <v>1941</v>
      </c>
      <c r="H459" s="941"/>
      <c r="I459" s="942"/>
      <c r="J459" s="1141"/>
      <c r="K459" s="1192"/>
      <c r="L459" s="1128"/>
      <c r="M459" s="1129"/>
      <c r="N459" s="1129"/>
      <c r="O459" s="1130"/>
      <c r="P459" s="1091"/>
      <c r="R459" s="10"/>
      <c r="S459" s="557">
        <f t="shared" si="65"/>
        <v>0</v>
      </c>
      <c r="T459" s="147">
        <f>LARGE($S$449:$S$471,11)</f>
        <v>0</v>
      </c>
      <c r="U459" s="553">
        <f t="shared" si="66"/>
        <v>0</v>
      </c>
      <c r="V459" s="557">
        <f t="shared" si="64"/>
        <v>0</v>
      </c>
      <c r="W459" s="1178"/>
      <c r="X459" s="10"/>
      <c r="Y459" s="199"/>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3">
      <c r="B460" s="757" t="s">
        <v>1917</v>
      </c>
      <c r="C460" s="758"/>
      <c r="D460" s="759"/>
      <c r="E460" s="742">
        <f t="shared" si="67"/>
        <v>0</v>
      </c>
      <c r="F460" s="744"/>
      <c r="G460" s="940" t="s">
        <v>1941</v>
      </c>
      <c r="H460" s="941"/>
      <c r="I460" s="942"/>
      <c r="J460" s="1141"/>
      <c r="K460" s="1192"/>
      <c r="L460" s="1128"/>
      <c r="M460" s="1129"/>
      <c r="N460" s="1129"/>
      <c r="O460" s="1130"/>
      <c r="P460" s="1091"/>
      <c r="R460" s="10"/>
      <c r="S460" s="557">
        <f t="shared" si="65"/>
        <v>0</v>
      </c>
      <c r="T460" s="147">
        <f>LARGE($S$449:$S$471,12)</f>
        <v>0</v>
      </c>
      <c r="U460" s="553">
        <f t="shared" si="66"/>
        <v>0</v>
      </c>
      <c r="V460" s="557">
        <f t="shared" si="64"/>
        <v>0</v>
      </c>
      <c r="W460" s="1178"/>
      <c r="X460" s="10"/>
      <c r="Y460" s="199"/>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15" customHeight="1" x14ac:dyDescent="0.3">
      <c r="B461" s="757" t="s">
        <v>711</v>
      </c>
      <c r="C461" s="758"/>
      <c r="D461" s="759"/>
      <c r="E461" s="742">
        <f t="shared" si="67"/>
        <v>0</v>
      </c>
      <c r="F461" s="744"/>
      <c r="G461" s="940" t="s">
        <v>1941</v>
      </c>
      <c r="H461" s="941"/>
      <c r="I461" s="942"/>
      <c r="J461" s="1141"/>
      <c r="K461" s="1192"/>
      <c r="L461" s="1128"/>
      <c r="M461" s="1129"/>
      <c r="N461" s="1129"/>
      <c r="O461" s="1130"/>
      <c r="P461" s="1091"/>
      <c r="R461" s="10"/>
      <c r="S461" s="557">
        <f t="shared" si="65"/>
        <v>0</v>
      </c>
      <c r="T461" s="147">
        <f>LARGE($S$449:$S$471,13)</f>
        <v>0</v>
      </c>
      <c r="U461" s="553">
        <f t="shared" si="66"/>
        <v>0</v>
      </c>
      <c r="V461" s="557">
        <f t="shared" si="64"/>
        <v>0</v>
      </c>
      <c r="W461" s="196">
        <f>SUM(AB377,E449,E452,E454:E463)</f>
        <v>0</v>
      </c>
      <c r="X461" s="10"/>
      <c r="Y461" s="199"/>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3">
      <c r="B462" s="771" t="s">
        <v>1859</v>
      </c>
      <c r="C462" s="772"/>
      <c r="D462" s="773"/>
      <c r="E462" s="742">
        <f t="shared" si="67"/>
        <v>0</v>
      </c>
      <c r="F462" s="744"/>
      <c r="G462" s="940" t="s">
        <v>1941</v>
      </c>
      <c r="H462" s="941"/>
      <c r="I462" s="942"/>
      <c r="J462" s="1141"/>
      <c r="K462" s="1192"/>
      <c r="L462" s="1128"/>
      <c r="M462" s="1129"/>
      <c r="N462" s="1129"/>
      <c r="O462" s="1130"/>
      <c r="P462" s="1091"/>
      <c r="R462" s="10"/>
      <c r="S462" s="557">
        <f t="shared" si="65"/>
        <v>0</v>
      </c>
      <c r="T462" s="147">
        <f>LARGE($S$449:$S$471,14)</f>
        <v>0</v>
      </c>
      <c r="U462" s="553">
        <f t="shared" si="66"/>
        <v>0</v>
      </c>
      <c r="V462" s="557">
        <f t="shared" si="64"/>
        <v>0</v>
      </c>
      <c r="W462" s="10"/>
      <c r="X462" s="10"/>
      <c r="Y462" s="199"/>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3">
      <c r="B463" s="757" t="s">
        <v>1860</v>
      </c>
      <c r="C463" s="758"/>
      <c r="D463" s="759"/>
      <c r="E463" s="742">
        <f t="shared" si="67"/>
        <v>0</v>
      </c>
      <c r="F463" s="744"/>
      <c r="G463" s="940" t="s">
        <v>1941</v>
      </c>
      <c r="H463" s="941"/>
      <c r="I463" s="942"/>
      <c r="J463" s="1141"/>
      <c r="K463" s="1141"/>
      <c r="L463" s="633"/>
      <c r="M463" s="634"/>
      <c r="N463" s="634"/>
      <c r="O463" s="635"/>
      <c r="P463" s="1010"/>
      <c r="R463" s="10"/>
      <c r="S463" s="557">
        <f t="shared" si="65"/>
        <v>0</v>
      </c>
      <c r="T463" s="147">
        <f>LARGE($S$449:$S$471,15)</f>
        <v>0</v>
      </c>
      <c r="U463" s="553">
        <f t="shared" si="66"/>
        <v>0</v>
      </c>
      <c r="V463" s="557">
        <f t="shared" si="64"/>
        <v>0</v>
      </c>
      <c r="W463" s="10"/>
      <c r="X463" s="10"/>
      <c r="Y463" s="199"/>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3">
      <c r="B464" s="757" t="s">
        <v>1446</v>
      </c>
      <c r="C464" s="758"/>
      <c r="D464" s="759"/>
      <c r="E464" s="742">
        <f>P420</f>
        <v>0</v>
      </c>
      <c r="F464" s="744"/>
      <c r="G464" s="960"/>
      <c r="H464" s="1182"/>
      <c r="I464" s="1183"/>
      <c r="J464" s="1188">
        <f t="shared" ref="J464:J470" si="68">IF(AND(Y464&lt;0.01,Y464&gt;0),0.01,ROUND(Y464,2))</f>
        <v>0</v>
      </c>
      <c r="K464" s="1188"/>
      <c r="L464" s="633"/>
      <c r="M464" s="634"/>
      <c r="N464" s="634"/>
      <c r="O464" s="635"/>
      <c r="P464" s="1010"/>
      <c r="R464" s="10"/>
      <c r="S464" s="147">
        <f>IF(J464&gt;0,J464,E464)</f>
        <v>0</v>
      </c>
      <c r="T464" s="147">
        <f>LARGE($S$449:$S$471,16)</f>
        <v>0</v>
      </c>
      <c r="U464" s="553">
        <f t="shared" si="66"/>
        <v>0</v>
      </c>
      <c r="V464" s="557">
        <f t="shared" si="64"/>
        <v>0</v>
      </c>
      <c r="W464" s="10"/>
      <c r="X464" s="10"/>
      <c r="Y464" s="21">
        <f t="shared" ref="Y464:Y470" si="69">G464*E464</f>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3">
      <c r="B465" s="757" t="s">
        <v>925</v>
      </c>
      <c r="C465" s="758"/>
      <c r="D465" s="759"/>
      <c r="E465" s="742">
        <f>P421</f>
        <v>0</v>
      </c>
      <c r="F465" s="744"/>
      <c r="G465" s="960"/>
      <c r="H465" s="1182"/>
      <c r="I465" s="1183"/>
      <c r="J465" s="1188">
        <f t="shared" si="68"/>
        <v>0</v>
      </c>
      <c r="K465" s="1188"/>
      <c r="L465" s="633"/>
      <c r="M465" s="634"/>
      <c r="N465" s="634"/>
      <c r="O465" s="635"/>
      <c r="P465" s="1010"/>
      <c r="R465" s="10"/>
      <c r="S465" s="147">
        <f>IF(J465&gt;0,J465,E465)</f>
        <v>0</v>
      </c>
      <c r="T465" s="147">
        <f>LARGE($S$449:$S$471,17)</f>
        <v>0</v>
      </c>
      <c r="U465" s="553">
        <f t="shared" si="66"/>
        <v>0</v>
      </c>
      <c r="V465" s="557">
        <f t="shared" si="64"/>
        <v>0</v>
      </c>
      <c r="W465" s="10"/>
      <c r="X465" s="10"/>
      <c r="Y465" s="21">
        <f t="shared" si="69"/>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3">
      <c r="B466" s="757" t="s">
        <v>926</v>
      </c>
      <c r="C466" s="758"/>
      <c r="D466" s="759"/>
      <c r="E466" s="742">
        <f>P427</f>
        <v>0</v>
      </c>
      <c r="F466" s="744"/>
      <c r="G466" s="960"/>
      <c r="H466" s="1182"/>
      <c r="I466" s="1183"/>
      <c r="J466" s="1188">
        <f t="shared" si="68"/>
        <v>0</v>
      </c>
      <c r="K466" s="1188"/>
      <c r="L466" s="1006" t="str">
        <f>IF(AND(P427&gt;0,W457&gt;0),"The worker has motor loss impairment. Additional impairment values are not allowed for chronic condition, a walking/standing limitation, reduced range of motion, or strength loss.","")</f>
        <v/>
      </c>
      <c r="M466" s="1007"/>
      <c r="N466" s="1007"/>
      <c r="O466" s="1008"/>
      <c r="P466" s="1010"/>
      <c r="R466" s="10"/>
      <c r="S466" s="147">
        <f t="shared" ref="S466:S471" si="70">IF(J466&gt;0,J466,E466)</f>
        <v>0</v>
      </c>
      <c r="T466" s="147">
        <f>LARGE($S$449:$S$471,18)</f>
        <v>0</v>
      </c>
      <c r="U466" s="553">
        <f t="shared" si="66"/>
        <v>0</v>
      </c>
      <c r="V466" s="557">
        <f t="shared" si="64"/>
        <v>0</v>
      </c>
      <c r="W466" s="10"/>
      <c r="X466" s="10"/>
      <c r="Y466" s="21">
        <f t="shared" si="69"/>
        <v>0</v>
      </c>
      <c r="Z466" s="10"/>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3">
      <c r="B467" s="757" t="s">
        <v>1448</v>
      </c>
      <c r="C467" s="758"/>
      <c r="D467" s="759"/>
      <c r="E467" s="742">
        <f>P430</f>
        <v>0</v>
      </c>
      <c r="F467" s="744"/>
      <c r="G467" s="960"/>
      <c r="H467" s="1182"/>
      <c r="I467" s="1183"/>
      <c r="J467" s="1188">
        <f t="shared" si="68"/>
        <v>0</v>
      </c>
      <c r="K467" s="1188"/>
      <c r="L467" s="1006"/>
      <c r="M467" s="1007"/>
      <c r="N467" s="1007"/>
      <c r="O467" s="1008"/>
      <c r="P467" s="1010"/>
      <c r="R467" s="10"/>
      <c r="S467" s="147">
        <f t="shared" si="70"/>
        <v>0</v>
      </c>
      <c r="T467" s="147">
        <f>LARGE($S$449:$S$471,19)</f>
        <v>0</v>
      </c>
      <c r="U467" s="553">
        <f t="shared" si="66"/>
        <v>0</v>
      </c>
      <c r="V467" s="557">
        <f t="shared" si="64"/>
        <v>0</v>
      </c>
      <c r="W467" s="6"/>
      <c r="X467" s="6"/>
      <c r="Y467" s="21">
        <f t="shared" si="69"/>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3">
      <c r="B468" s="757" t="s">
        <v>1449</v>
      </c>
      <c r="C468" s="758"/>
      <c r="D468" s="759"/>
      <c r="E468" s="742">
        <f>IF(P427&gt;0,0,P439)</f>
        <v>0</v>
      </c>
      <c r="F468" s="744"/>
      <c r="G468" s="960"/>
      <c r="H468" s="1182"/>
      <c r="I468" s="1183"/>
      <c r="J468" s="1188">
        <f t="shared" si="68"/>
        <v>0</v>
      </c>
      <c r="K468" s="1188"/>
      <c r="L468" s="1006"/>
      <c r="M468" s="1007"/>
      <c r="N468" s="1007"/>
      <c r="O468" s="1008"/>
      <c r="P468" s="1010"/>
      <c r="R468" s="10"/>
      <c r="S468" s="147">
        <f t="shared" si="70"/>
        <v>0</v>
      </c>
      <c r="T468" s="147">
        <f>LARGE($S$449:$S$471,20)</f>
        <v>0</v>
      </c>
      <c r="U468" s="553">
        <f t="shared" si="66"/>
        <v>0</v>
      </c>
      <c r="V468" s="557">
        <f t="shared" si="64"/>
        <v>0</v>
      </c>
      <c r="W468" s="10"/>
      <c r="X468" s="10"/>
      <c r="Y468" s="21">
        <f t="shared" si="69"/>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3">
      <c r="B469" s="757" t="s">
        <v>596</v>
      </c>
      <c r="C469" s="758"/>
      <c r="D469" s="759"/>
      <c r="E469" s="742">
        <f>IF(P427&gt;0,0,P443)</f>
        <v>0</v>
      </c>
      <c r="F469" s="744"/>
      <c r="G469" s="960"/>
      <c r="H469" s="1182"/>
      <c r="I469" s="1183"/>
      <c r="J469" s="1188">
        <f t="shared" si="68"/>
        <v>0</v>
      </c>
      <c r="K469" s="1188"/>
      <c r="L469" s="1006"/>
      <c r="M469" s="1007"/>
      <c r="N469" s="1007"/>
      <c r="O469" s="1008"/>
      <c r="P469" s="1010"/>
      <c r="R469" s="10"/>
      <c r="S469" s="147">
        <f t="shared" si="70"/>
        <v>0</v>
      </c>
      <c r="T469" s="147">
        <f>LARGE($S$449:$S$471,21)</f>
        <v>0</v>
      </c>
      <c r="U469" s="553">
        <f t="shared" si="66"/>
        <v>0</v>
      </c>
      <c r="V469" s="557">
        <f t="shared" si="64"/>
        <v>0</v>
      </c>
      <c r="W469" s="6"/>
      <c r="X469" s="6"/>
      <c r="Y469" s="21">
        <f t="shared" si="69"/>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3">
      <c r="B470" s="757" t="s">
        <v>1638</v>
      </c>
      <c r="C470" s="758"/>
      <c r="D470" s="759"/>
      <c r="E470" s="742">
        <f>IF(P427&gt;0,0,P338)</f>
        <v>0</v>
      </c>
      <c r="F470" s="744"/>
      <c r="G470" s="960"/>
      <c r="H470" s="1182"/>
      <c r="I470" s="1183"/>
      <c r="J470" s="1188">
        <f t="shared" si="68"/>
        <v>0</v>
      </c>
      <c r="K470" s="1188"/>
      <c r="L470" s="1006"/>
      <c r="M470" s="1007"/>
      <c r="N470" s="1007"/>
      <c r="O470" s="1008"/>
      <c r="P470" s="1010"/>
      <c r="R470" s="10"/>
      <c r="S470" s="147">
        <f t="shared" si="70"/>
        <v>0</v>
      </c>
      <c r="T470" s="147">
        <f>LARGE($S$449:$S$471,22)</f>
        <v>0</v>
      </c>
      <c r="U470" s="553">
        <f t="shared" si="66"/>
        <v>0</v>
      </c>
      <c r="V470" s="557">
        <f t="shared" si="64"/>
        <v>0</v>
      </c>
      <c r="W470" s="10"/>
      <c r="X470" s="10"/>
      <c r="Y470" s="21">
        <f t="shared" si="69"/>
        <v>0</v>
      </c>
      <c r="Z470" s="6"/>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3">
      <c r="B471" s="797" t="s">
        <v>927</v>
      </c>
      <c r="C471" s="798"/>
      <c r="D471" s="799"/>
      <c r="E471" s="1079">
        <f>P446</f>
        <v>0</v>
      </c>
      <c r="F471" s="1187"/>
      <c r="G471" s="1166" t="s">
        <v>1941</v>
      </c>
      <c r="H471" s="1161"/>
      <c r="I471" s="1167"/>
      <c r="J471" s="1054"/>
      <c r="K471" s="1374"/>
      <c r="L471" s="1006"/>
      <c r="M471" s="1007"/>
      <c r="N471" s="1007"/>
      <c r="O471" s="1008"/>
      <c r="P471" s="1010"/>
      <c r="R471" s="10"/>
      <c r="S471" s="147">
        <f t="shared" si="70"/>
        <v>0</v>
      </c>
      <c r="T471" s="147">
        <f>LARGE($S$449:$S$471,23)</f>
        <v>0</v>
      </c>
      <c r="U471" s="96"/>
      <c r="V471" s="129"/>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3">
      <c r="B472" s="959" t="s">
        <v>58</v>
      </c>
      <c r="C472" s="959"/>
      <c r="D472" s="959"/>
      <c r="E472" s="959"/>
      <c r="F472" s="959"/>
      <c r="G472" s="959"/>
      <c r="H472" s="959"/>
      <c r="I472" s="959"/>
      <c r="J472" s="959"/>
      <c r="K472" s="959"/>
      <c r="L472" s="959"/>
      <c r="M472" s="959"/>
      <c r="N472" s="959"/>
      <c r="O472" s="959"/>
      <c r="P472" s="996"/>
      <c r="R472" s="10"/>
      <c r="S472" s="6"/>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ht="15" customHeight="1" x14ac:dyDescent="0.3">
      <c r="B473" s="792"/>
      <c r="C473" s="792"/>
      <c r="D473" s="792"/>
      <c r="E473" s="792"/>
      <c r="F473" s="792"/>
      <c r="G473" s="792"/>
      <c r="H473" s="792"/>
      <c r="I473" s="792"/>
      <c r="J473" s="792"/>
      <c r="K473" s="792"/>
      <c r="L473" s="792"/>
      <c r="M473" s="792"/>
      <c r="N473" s="792"/>
      <c r="O473" s="792"/>
      <c r="P473" s="792"/>
      <c r="R473" s="10"/>
      <c r="S473" s="10"/>
      <c r="T473" s="10"/>
      <c r="U473" s="10"/>
      <c r="V473" s="10"/>
      <c r="W473" s="10"/>
      <c r="X473" s="10"/>
      <c r="Y473" s="10"/>
      <c r="Z473" s="10"/>
      <c r="AA473" s="10"/>
      <c r="AB473" s="6"/>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x14ac:dyDescent="0.3">
      <c r="B474" s="792"/>
      <c r="C474" s="792"/>
      <c r="D474" s="792"/>
      <c r="E474" s="792"/>
      <c r="F474" s="792"/>
      <c r="G474" s="792"/>
      <c r="H474" s="792"/>
      <c r="I474" s="792"/>
      <c r="J474" s="792"/>
      <c r="K474" s="792"/>
      <c r="L474" s="792"/>
      <c r="M474" s="792"/>
      <c r="N474" s="792"/>
      <c r="O474" s="792"/>
      <c r="P474" s="792"/>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36" customHeight="1" x14ac:dyDescent="0.3">
      <c r="B475" s="922" t="s">
        <v>1720</v>
      </c>
      <c r="C475" s="941"/>
      <c r="D475" s="941"/>
      <c r="E475" s="941"/>
      <c r="F475" s="941"/>
      <c r="G475" s="941"/>
      <c r="H475" s="941"/>
      <c r="I475" s="941"/>
      <c r="J475" s="941"/>
      <c r="K475" s="941"/>
      <c r="L475" s="941"/>
      <c r="M475" s="941"/>
      <c r="N475" s="941"/>
      <c r="O475" s="941"/>
      <c r="P475" s="942"/>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12" customHeight="1" x14ac:dyDescent="0.35">
      <c r="B476" s="1242"/>
      <c r="C476" s="1242"/>
      <c r="D476" s="1242"/>
      <c r="E476" s="1242"/>
      <c r="F476" s="1242"/>
      <c r="G476" s="1242"/>
      <c r="H476" s="1242"/>
      <c r="I476" s="1242"/>
      <c r="J476" s="1242"/>
      <c r="K476" s="1242"/>
      <c r="L476" s="1242"/>
      <c r="M476" s="1242"/>
      <c r="N476" s="1242"/>
      <c r="O476" s="1242"/>
      <c r="P476" s="1242"/>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40.5" customHeight="1" x14ac:dyDescent="0.3">
      <c r="B477" s="776" t="s">
        <v>107</v>
      </c>
      <c r="C477" s="776"/>
      <c r="D477" s="776"/>
      <c r="E477" s="776"/>
      <c r="F477" s="776"/>
      <c r="G477" s="776"/>
      <c r="H477" s="776"/>
      <c r="I477" s="776"/>
      <c r="J477" s="776"/>
      <c r="K477" s="776"/>
      <c r="L477" s="776"/>
      <c r="M477" s="776"/>
      <c r="N477" s="776"/>
      <c r="O477" s="776"/>
      <c r="P477" s="776"/>
      <c r="R477" s="10"/>
      <c r="S477" s="10"/>
      <c r="T477" s="10"/>
      <c r="U477" s="141"/>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33.75" customHeight="1" x14ac:dyDescent="0.3">
      <c r="B478" s="146"/>
      <c r="C478" s="927" t="s">
        <v>1795</v>
      </c>
      <c r="D478" s="925"/>
      <c r="E478" s="146"/>
      <c r="F478" s="927" t="s">
        <v>1276</v>
      </c>
      <c r="G478" s="927"/>
      <c r="H478" s="925"/>
      <c r="I478" s="925"/>
      <c r="J478" s="925" t="s">
        <v>1795</v>
      </c>
      <c r="K478" s="925"/>
      <c r="L478" s="925"/>
      <c r="M478" s="925"/>
      <c r="N478" s="925" t="s">
        <v>1737</v>
      </c>
      <c r="O478" s="925"/>
      <c r="P478" s="925"/>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3">
      <c r="B479" s="146" t="s">
        <v>1364</v>
      </c>
      <c r="C479" s="770">
        <f>P33</f>
        <v>0</v>
      </c>
      <c r="D479" s="746"/>
      <c r="E479" s="18" t="s">
        <v>1790</v>
      </c>
      <c r="F479" s="1027">
        <v>0.06</v>
      </c>
      <c r="G479" s="1027"/>
      <c r="H479" s="1313" t="s">
        <v>1792</v>
      </c>
      <c r="I479" s="1313"/>
      <c r="J479" s="1326">
        <f>IF(C489&lt;R1,"DOI&lt;2005",IF($P$270&gt;0,0,T479))</f>
        <v>0</v>
      </c>
      <c r="K479" s="1326"/>
      <c r="L479" s="1326"/>
      <c r="M479" s="1326"/>
      <c r="N479" s="1313" t="str">
        <f>IF(C479=0,"",IF($P$270&gt;0,"Converted",""))</f>
        <v/>
      </c>
      <c r="O479" s="1313"/>
      <c r="P479" s="1313"/>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3">
      <c r="B480" s="146" t="s">
        <v>1365</v>
      </c>
      <c r="C480" s="770">
        <f>P72</f>
        <v>0</v>
      </c>
      <c r="D480" s="746"/>
      <c r="E480" s="18" t="s">
        <v>1790</v>
      </c>
      <c r="F480" s="1027">
        <v>0.01</v>
      </c>
      <c r="G480" s="1027"/>
      <c r="H480" s="1313" t="s">
        <v>1792</v>
      </c>
      <c r="I480" s="1313"/>
      <c r="J480" s="1326">
        <f>IF(C489&lt;R1,"DOI&lt;2005",IF($P$270&gt;0,0,T480))</f>
        <v>0</v>
      </c>
      <c r="K480" s="1326"/>
      <c r="L480" s="1326"/>
      <c r="M480" s="1326"/>
      <c r="N480" s="1313" t="str">
        <f>IF(C480=0,"",IF($P$270&gt;0,"Converted",""))</f>
        <v/>
      </c>
      <c r="O480" s="1313"/>
      <c r="P480" s="1313"/>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3">
      <c r="B481" s="146" t="s">
        <v>1366</v>
      </c>
      <c r="C481" s="770">
        <f>P112</f>
        <v>0</v>
      </c>
      <c r="D481" s="746"/>
      <c r="E481" s="18" t="s">
        <v>1790</v>
      </c>
      <c r="F481" s="1027">
        <v>0.01</v>
      </c>
      <c r="G481" s="1027"/>
      <c r="H481" s="1313" t="s">
        <v>1792</v>
      </c>
      <c r="I481" s="1313"/>
      <c r="J481" s="1326">
        <f>IF(C489&lt;R1,"DOI&lt;2005",IF($P$270&gt;0,0,T481))</f>
        <v>0</v>
      </c>
      <c r="K481" s="1326"/>
      <c r="L481" s="1326"/>
      <c r="M481" s="1326"/>
      <c r="N481" s="1313" t="str">
        <f>IF(C481=0,"",IF($P$270&gt;0,"Converted",""))</f>
        <v/>
      </c>
      <c r="O481" s="1313"/>
      <c r="P481" s="1313"/>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3">
      <c r="B482" s="146" t="s">
        <v>1367</v>
      </c>
      <c r="C482" s="770">
        <f>P152</f>
        <v>0</v>
      </c>
      <c r="D482" s="746"/>
      <c r="E482" s="18" t="s">
        <v>1790</v>
      </c>
      <c r="F482" s="1027">
        <v>0.01</v>
      </c>
      <c r="G482" s="1027"/>
      <c r="H482" s="1313" t="s">
        <v>1792</v>
      </c>
      <c r="I482" s="1313"/>
      <c r="J482" s="1326">
        <f>IF(C489&lt;R1,"DOI&lt;2005",IF($P$270&gt;0,0,T482))</f>
        <v>0</v>
      </c>
      <c r="K482" s="1326"/>
      <c r="L482" s="1326"/>
      <c r="M482" s="1326"/>
      <c r="N482" s="1313" t="str">
        <f>IF(C482=0,"",IF($P$270&gt;0,"Converted",""))</f>
        <v/>
      </c>
      <c r="O482" s="1313"/>
      <c r="P482" s="1313"/>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3">
      <c r="B483" s="146" t="s">
        <v>1368</v>
      </c>
      <c r="C483" s="770">
        <f>P192</f>
        <v>0</v>
      </c>
      <c r="D483" s="746"/>
      <c r="E483" s="18" t="s">
        <v>1790</v>
      </c>
      <c r="F483" s="1027">
        <v>0.01</v>
      </c>
      <c r="G483" s="1027"/>
      <c r="H483" s="1313" t="s">
        <v>1792</v>
      </c>
      <c r="I483" s="1313"/>
      <c r="J483" s="1326">
        <f>IF(C489&lt;R1,"DOI&lt;2005",IF($P$270&gt;0,0,T483))</f>
        <v>0</v>
      </c>
      <c r="K483" s="1326"/>
      <c r="L483" s="1326"/>
      <c r="M483" s="1326"/>
      <c r="N483" s="1313" t="str">
        <f>IF(C483=0,"",IF($P$270&gt;0,"Converted",""))</f>
        <v/>
      </c>
      <c r="O483" s="1313"/>
      <c r="P483" s="1313"/>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3">
      <c r="B484" s="146" t="s">
        <v>476</v>
      </c>
      <c r="C484" s="770">
        <f>P341</f>
        <v>0</v>
      </c>
      <c r="D484" s="746"/>
      <c r="E484" s="18" t="s">
        <v>1790</v>
      </c>
      <c r="F484" s="1027">
        <v>0.42</v>
      </c>
      <c r="G484" s="1027"/>
      <c r="H484" s="1313" t="s">
        <v>1792</v>
      </c>
      <c r="I484" s="1313"/>
      <c r="J484" s="1326">
        <f>IF(C489&lt;R1,"DOI&lt;2005",IF(AND(C484&gt;0,C485&gt;0),0,T484))</f>
        <v>0</v>
      </c>
      <c r="K484" s="1326"/>
      <c r="L484" s="1326"/>
      <c r="M484" s="1326"/>
      <c r="N484" s="1313" t="str">
        <f>IF(C484=0,"",IF(U481=1,"Converted",""))</f>
        <v/>
      </c>
      <c r="O484" s="1313"/>
      <c r="P484" s="1313"/>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3">
      <c r="B485" s="146" t="s">
        <v>1243</v>
      </c>
      <c r="C485" s="770">
        <f>P448</f>
        <v>0</v>
      </c>
      <c r="D485" s="746"/>
      <c r="E485" s="18" t="s">
        <v>1790</v>
      </c>
      <c r="F485" s="1027">
        <v>0.47</v>
      </c>
      <c r="G485" s="1027"/>
      <c r="H485" s="1313" t="s">
        <v>1792</v>
      </c>
      <c r="I485" s="1313"/>
      <c r="J485" s="1326">
        <f>IF(C489&lt;R1,"DOI&lt;2005",T485)</f>
        <v>0</v>
      </c>
      <c r="K485" s="1326"/>
      <c r="L485" s="1326"/>
      <c r="M485" s="1326"/>
      <c r="N485" s="1313"/>
      <c r="O485" s="1313"/>
      <c r="P485" s="1313"/>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18" customHeight="1" x14ac:dyDescent="0.35">
      <c r="B486" s="1351"/>
      <c r="C486" s="1352"/>
      <c r="D486" s="1352"/>
      <c r="E486" s="1352"/>
      <c r="F486" s="1352"/>
      <c r="G486" s="1352"/>
      <c r="H486" s="1352"/>
      <c r="I486" s="1352"/>
      <c r="J486" s="1352"/>
      <c r="K486" s="1352"/>
      <c r="L486" s="1352"/>
      <c r="M486" s="1352"/>
      <c r="N486" s="1352"/>
      <c r="O486" s="1352"/>
      <c r="P486" s="135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row>
    <row r="487" spans="2:228" ht="30.75" customHeight="1" x14ac:dyDescent="0.3">
      <c r="B487" s="927" t="s">
        <v>1051</v>
      </c>
      <c r="C487" s="925"/>
      <c r="D487" s="925"/>
      <c r="E487" s="925"/>
      <c r="F487" s="925"/>
      <c r="G487" s="925"/>
      <c r="H487" s="925"/>
      <c r="I487" s="925"/>
      <c r="J487" s="925"/>
      <c r="K487" s="925"/>
      <c r="L487" s="925"/>
      <c r="M487" s="925"/>
      <c r="N487" s="925"/>
      <c r="O487" s="925"/>
      <c r="P487" s="925"/>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x14ac:dyDescent="0.3">
      <c r="B488" s="1323"/>
      <c r="C488" s="1324"/>
      <c r="D488" s="1324"/>
      <c r="E488" s="1324"/>
      <c r="F488" s="1324"/>
      <c r="G488" s="1324"/>
      <c r="H488" s="1324"/>
      <c r="I488" s="1324"/>
      <c r="J488" s="1324"/>
      <c r="K488" s="1324"/>
      <c r="L488" s="1324"/>
      <c r="M488" s="1324"/>
      <c r="N488" s="1324"/>
      <c r="O488" s="1324"/>
      <c r="P488" s="132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ht="16.5" customHeight="1" x14ac:dyDescent="0.3">
      <c r="B489" s="302" t="s">
        <v>1188</v>
      </c>
      <c r="C489" s="1332" t="str">
        <f>IF('Start here'!A8="","",'Start here'!A8)</f>
        <v/>
      </c>
      <c r="D489" s="1333"/>
      <c r="E489" s="1334"/>
      <c r="F489" s="1052" t="str">
        <f>IF(C489="","Enter date of injury on 'Start here' worksheet.","")</f>
        <v>Enter date of injury on 'Start here' worksheet.</v>
      </c>
      <c r="G489" s="1053"/>
      <c r="H489" s="1053"/>
      <c r="I489" s="1053"/>
      <c r="J489" s="1053"/>
      <c r="K489" s="1053"/>
      <c r="L489" s="1053"/>
      <c r="M489" s="1053"/>
      <c r="N489" s="1053"/>
      <c r="O489" s="1053"/>
      <c r="P489" s="1335"/>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x14ac:dyDescent="0.3">
      <c r="B490" s="1330"/>
      <c r="C490" s="1233"/>
      <c r="D490" s="1233"/>
      <c r="E490" s="1233"/>
      <c r="F490" s="1233"/>
      <c r="G490" s="1233"/>
      <c r="H490" s="1233"/>
      <c r="I490" s="1233"/>
      <c r="J490" s="1233"/>
      <c r="K490" s="1233"/>
      <c r="L490" s="1233"/>
      <c r="M490" s="1233"/>
      <c r="N490" s="1233"/>
      <c r="O490" s="1233"/>
      <c r="P490" s="1331"/>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40.5" customHeight="1" x14ac:dyDescent="0.3">
      <c r="B491" s="1294" t="s">
        <v>107</v>
      </c>
      <c r="C491" s="1295"/>
      <c r="D491" s="1295"/>
      <c r="E491" s="1295"/>
      <c r="F491" s="1295"/>
      <c r="G491" s="1295"/>
      <c r="H491" s="1295"/>
      <c r="I491" s="1295"/>
      <c r="J491" s="1295"/>
      <c r="K491" s="1295"/>
      <c r="L491" s="1295"/>
      <c r="M491" s="1295"/>
      <c r="N491" s="1295"/>
      <c r="O491" s="1295"/>
      <c r="P491" s="1296"/>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27" customHeight="1" x14ac:dyDescent="0.3">
      <c r="B492" s="292"/>
      <c r="C492" s="1189" t="s">
        <v>1795</v>
      </c>
      <c r="D492" s="1189"/>
      <c r="E492" s="36"/>
      <c r="F492" s="1337" t="s">
        <v>1355</v>
      </c>
      <c r="G492" s="1189"/>
      <c r="H492" s="1189" t="s">
        <v>365</v>
      </c>
      <c r="I492" s="1189"/>
      <c r="J492" s="1189"/>
      <c r="K492" s="36"/>
      <c r="L492" s="1337" t="s">
        <v>1356</v>
      </c>
      <c r="M492" s="1189"/>
      <c r="N492" s="36"/>
      <c r="O492" s="1189" t="s">
        <v>1191</v>
      </c>
      <c r="P492" s="1189"/>
      <c r="R492" s="535" t="s">
        <v>2196</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3">
      <c r="B493" s="292" t="s">
        <v>1052</v>
      </c>
      <c r="C493" s="1190">
        <f>P33</f>
        <v>0</v>
      </c>
      <c r="D493" s="1191"/>
      <c r="E493" s="36" t="s">
        <v>1790</v>
      </c>
      <c r="F493" s="36">
        <v>18</v>
      </c>
      <c r="G493" s="36" t="s">
        <v>1792</v>
      </c>
      <c r="H493" s="1327">
        <f>C493*F493</f>
        <v>0</v>
      </c>
      <c r="I493" s="1327"/>
      <c r="J493" s="1327"/>
      <c r="K493" s="36" t="s">
        <v>1790</v>
      </c>
      <c r="L493" s="1329" t="e">
        <f>'Dol Per Deg'!$H$11</f>
        <v>#N/A</v>
      </c>
      <c r="M493" s="1191"/>
      <c r="N493" s="36" t="s">
        <v>1792</v>
      </c>
      <c r="O493" s="1328" t="str">
        <f>IF(C489&gt;=R1,"DOI&gt;2004",IF(C493=0,0,IF($R$491=1,"Converted",H493*L493)))</f>
        <v>DOI&gt;2004</v>
      </c>
      <c r="P493" s="1328"/>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3">
      <c r="B494" s="292" t="s">
        <v>1053</v>
      </c>
      <c r="C494" s="1190">
        <f>P72</f>
        <v>0</v>
      </c>
      <c r="D494" s="1191"/>
      <c r="E494" s="36" t="s">
        <v>1790</v>
      </c>
      <c r="F494" s="36">
        <v>4</v>
      </c>
      <c r="G494" s="36" t="s">
        <v>1792</v>
      </c>
      <c r="H494" s="1327">
        <f t="shared" ref="H494:H499" si="74">C494*F494</f>
        <v>0</v>
      </c>
      <c r="I494" s="1327"/>
      <c r="J494" s="1327"/>
      <c r="K494" s="36" t="s">
        <v>1790</v>
      </c>
      <c r="L494" s="1329" t="e">
        <f>'Dol Per Deg'!$H$11</f>
        <v>#N/A</v>
      </c>
      <c r="M494" s="1191"/>
      <c r="N494" s="36" t="s">
        <v>1792</v>
      </c>
      <c r="O494" s="1328" t="str">
        <f>IF(C489&gt;=R1,"DOI&gt;2004",IF(C494=0,0,IF($R$491=1,"Converted",H494*L494)))</f>
        <v>DOI&gt;2004</v>
      </c>
      <c r="P494" s="1328"/>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3">
      <c r="B495" s="292" t="s">
        <v>1054</v>
      </c>
      <c r="C495" s="1190">
        <f>P112</f>
        <v>0</v>
      </c>
      <c r="D495" s="1191"/>
      <c r="E495" s="36" t="s">
        <v>1790</v>
      </c>
      <c r="F495" s="36">
        <v>4</v>
      </c>
      <c r="G495" s="36" t="s">
        <v>1792</v>
      </c>
      <c r="H495" s="1327">
        <f t="shared" si="74"/>
        <v>0</v>
      </c>
      <c r="I495" s="1327"/>
      <c r="J495" s="1327"/>
      <c r="K495" s="36" t="s">
        <v>1790</v>
      </c>
      <c r="L495" s="1329" t="e">
        <f>'Dol Per Deg'!$H$11</f>
        <v>#N/A</v>
      </c>
      <c r="M495" s="1191"/>
      <c r="N495" s="36" t="s">
        <v>1792</v>
      </c>
      <c r="O495" s="1328" t="str">
        <f>IF(C489&gt;=R1,"DOI&gt;2004",IF(C495=0,0,IF($R$491=1,"Converted",H495*L495)))</f>
        <v>DOI&gt;2004</v>
      </c>
      <c r="P495" s="1328"/>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3">
      <c r="B496" s="292" t="s">
        <v>1055</v>
      </c>
      <c r="C496" s="1190">
        <f>P152</f>
        <v>0</v>
      </c>
      <c r="D496" s="1191"/>
      <c r="E496" s="36" t="s">
        <v>1790</v>
      </c>
      <c r="F496" s="36">
        <v>4</v>
      </c>
      <c r="G496" s="36" t="s">
        <v>1792</v>
      </c>
      <c r="H496" s="1327">
        <f t="shared" si="74"/>
        <v>0</v>
      </c>
      <c r="I496" s="1327"/>
      <c r="J496" s="1327"/>
      <c r="K496" s="36" t="s">
        <v>1790</v>
      </c>
      <c r="L496" s="1329" t="e">
        <f>'Dol Per Deg'!$H$11</f>
        <v>#N/A</v>
      </c>
      <c r="M496" s="1191"/>
      <c r="N496" s="36" t="s">
        <v>1792</v>
      </c>
      <c r="O496" s="1328" t="str">
        <f>IF(C489&gt;=R1,"DOI&gt;2004",IF(C496=0,0,IF($R$491=1,"Converted",H496*L496)))</f>
        <v>DOI&gt;2004</v>
      </c>
      <c r="P496" s="1328"/>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3">
      <c r="B497" s="292" t="s">
        <v>1056</v>
      </c>
      <c r="C497" s="1190">
        <f>P192</f>
        <v>0</v>
      </c>
      <c r="D497" s="1191"/>
      <c r="E497" s="36" t="s">
        <v>1790</v>
      </c>
      <c r="F497" s="36">
        <v>4</v>
      </c>
      <c r="G497" s="36" t="s">
        <v>1792</v>
      </c>
      <c r="H497" s="1327">
        <f t="shared" si="74"/>
        <v>0</v>
      </c>
      <c r="I497" s="1327"/>
      <c r="J497" s="1327"/>
      <c r="K497" s="36" t="s">
        <v>1790</v>
      </c>
      <c r="L497" s="1329" t="e">
        <f>'Dol Per Deg'!$H$11</f>
        <v>#N/A</v>
      </c>
      <c r="M497" s="1191"/>
      <c r="N497" s="36" t="s">
        <v>1792</v>
      </c>
      <c r="O497" s="1328" t="str">
        <f>IF(C489&gt;=R1,"DOI&gt;2004",IF(C497=0,0,IF($R$491=1,"Converted",H497*L497)))</f>
        <v>DOI&gt;2004</v>
      </c>
      <c r="P497" s="1328"/>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3">
      <c r="B498" s="292" t="s">
        <v>1057</v>
      </c>
      <c r="C498" s="1190">
        <f>P341</f>
        <v>0</v>
      </c>
      <c r="D498" s="1191"/>
      <c r="E498" s="36" t="s">
        <v>1790</v>
      </c>
      <c r="F498" s="36">
        <v>135</v>
      </c>
      <c r="G498" s="36" t="s">
        <v>1792</v>
      </c>
      <c r="H498" s="1327">
        <f t="shared" si="74"/>
        <v>0</v>
      </c>
      <c r="I498" s="1327"/>
      <c r="J498" s="1327"/>
      <c r="K498" s="36" t="s">
        <v>1790</v>
      </c>
      <c r="L498" s="1329" t="e">
        <f>'Dol Per Deg'!$H$11</f>
        <v>#N/A</v>
      </c>
      <c r="M498" s="1191"/>
      <c r="N498" s="36" t="s">
        <v>1792</v>
      </c>
      <c r="O498" s="1328" t="str">
        <f>IF(C489&gt;=R1,"DOI&gt;2004",IF(C498=0,0,IF(AND(C498&gt;0,C499&gt;0),"Converted",H498*L498)))</f>
        <v>DOI&gt;2004</v>
      </c>
      <c r="P498" s="1328"/>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18" customHeight="1" x14ac:dyDescent="0.3">
      <c r="B499" s="292" t="s">
        <v>1058</v>
      </c>
      <c r="C499" s="1190">
        <f>P448</f>
        <v>0</v>
      </c>
      <c r="D499" s="1191"/>
      <c r="E499" s="36" t="s">
        <v>1790</v>
      </c>
      <c r="F499" s="36">
        <v>150</v>
      </c>
      <c r="G499" s="36" t="s">
        <v>1792</v>
      </c>
      <c r="H499" s="1327">
        <f t="shared" si="74"/>
        <v>0</v>
      </c>
      <c r="I499" s="1327"/>
      <c r="J499" s="1327"/>
      <c r="K499" s="36" t="s">
        <v>1790</v>
      </c>
      <c r="L499" s="1329" t="e">
        <f>'Dol Per Deg'!$H$11</f>
        <v>#N/A</v>
      </c>
      <c r="M499" s="1191"/>
      <c r="N499" s="36" t="s">
        <v>1792</v>
      </c>
      <c r="O499" s="1329" t="str">
        <f>IF(C489&gt;=R1,"DOI&gt;2004",IF(C499=0,0,H499*L499))</f>
        <v>DOI&gt;2004</v>
      </c>
      <c r="P499" s="1191"/>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2:241" ht="31.5" customHeight="1" x14ac:dyDescent="0.35">
      <c r="B500" s="1049" t="s">
        <v>947</v>
      </c>
      <c r="C500" s="1049"/>
      <c r="D500" s="1049"/>
      <c r="E500" s="1049"/>
      <c r="F500" s="1049"/>
      <c r="G500" s="1049"/>
      <c r="H500" s="1049"/>
      <c r="I500" s="1049"/>
      <c r="J500" s="1049"/>
      <c r="K500" s="1049"/>
      <c r="L500" s="1049"/>
      <c r="M500" s="1049"/>
      <c r="N500" s="1049"/>
      <c r="O500" s="1049"/>
      <c r="P500" s="1049"/>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row>
    <row r="501" spans="2:241" x14ac:dyDescent="0.3">
      <c r="B501" s="246" t="s">
        <v>790</v>
      </c>
      <c r="C501" s="1336" t="str">
        <f>IF(S1&lt;&gt;"",S1,"")</f>
        <v>Go to PPD Worksheet</v>
      </c>
      <c r="D501" s="1336"/>
      <c r="E501" s="1336"/>
      <c r="F501" s="1336"/>
      <c r="G501" s="1336"/>
      <c r="H501" s="1336" t="str">
        <f>IF(S2&lt;&gt;"",S2,"")</f>
        <v/>
      </c>
      <c r="I501" s="1336"/>
      <c r="J501" s="1336"/>
      <c r="K501" s="1336"/>
      <c r="L501" s="1336"/>
      <c r="M501" s="1336"/>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2:241" hidden="1" x14ac:dyDescent="0.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3">
      <c r="B504" s="1174" t="s">
        <v>2240</v>
      </c>
      <c r="C504" s="1174"/>
      <c r="D504" s="1174"/>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3">
      <c r="B505" s="1174"/>
      <c r="C505" s="1174"/>
      <c r="D505" s="1174"/>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3">
      <c r="B506" s="1174"/>
      <c r="C506" s="1174"/>
      <c r="D506" s="1174"/>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hidden="1" x14ac:dyDescent="0.3">
      <c r="B507" s="160">
        <v>0.01</v>
      </c>
      <c r="C507" s="1046">
        <v>0.99</v>
      </c>
      <c r="D507" s="1046"/>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row>
    <row r="508" spans="2:241" s="171" customFormat="1" hidden="1" x14ac:dyDescent="0.3">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2:241" hidden="1" x14ac:dyDescent="0.3">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3">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idden="1" x14ac:dyDescent="0.3">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t="39" hidden="1" x14ac:dyDescent="0.3">
      <c r="B512" s="535" t="s">
        <v>2231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3">
      <c r="B513" s="146" t="s">
        <v>1941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3">
      <c r="B514" s="146">
        <v>0</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3">
      <c r="B515" s="146">
        <v>1</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3">
      <c r="B516" s="146">
        <v>2</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row>
    <row r="517" spans="2:228" hidden="1" x14ac:dyDescent="0.3">
      <c r="B517" s="146">
        <v>3</v>
      </c>
    </row>
    <row r="518" spans="2:228" hidden="1" x14ac:dyDescent="0.3">
      <c r="B518" s="146">
        <v>4</v>
      </c>
    </row>
    <row r="519" spans="2:228" hidden="1" x14ac:dyDescent="0.3">
      <c r="B519" s="146">
        <v>5</v>
      </c>
    </row>
    <row r="520" spans="2:228" hidden="1" x14ac:dyDescent="0.3">
      <c r="B520" s="146">
        <v>6</v>
      </c>
    </row>
    <row r="521" spans="2:228" hidden="1" x14ac:dyDescent="0.3">
      <c r="B521" s="146">
        <v>7</v>
      </c>
    </row>
    <row r="522" spans="2:228" hidden="1" x14ac:dyDescent="0.3">
      <c r="B522" s="146">
        <v>8</v>
      </c>
    </row>
    <row r="523" spans="2:228" hidden="1" x14ac:dyDescent="0.3">
      <c r="B523" s="146">
        <v>9</v>
      </c>
    </row>
    <row r="524" spans="2:228" hidden="1" x14ac:dyDescent="0.3">
      <c r="B524" s="146">
        <v>10</v>
      </c>
    </row>
    <row r="525" spans="2:228" hidden="1" x14ac:dyDescent="0.3">
      <c r="B525" s="146">
        <v>11</v>
      </c>
    </row>
    <row r="526" spans="2:228" hidden="1" x14ac:dyDescent="0.3">
      <c r="B526" s="146">
        <v>12</v>
      </c>
    </row>
    <row r="527" spans="2:228" hidden="1" x14ac:dyDescent="0.3">
      <c r="B527" s="146">
        <v>13</v>
      </c>
    </row>
    <row r="528" spans="2:228" hidden="1" x14ac:dyDescent="0.3">
      <c r="B528" s="146">
        <v>14</v>
      </c>
    </row>
    <row r="529" spans="2:2" hidden="1" x14ac:dyDescent="0.3">
      <c r="B529" s="146">
        <v>15</v>
      </c>
    </row>
    <row r="530" spans="2:2" hidden="1" x14ac:dyDescent="0.3">
      <c r="B530" s="146">
        <v>16</v>
      </c>
    </row>
    <row r="531" spans="2:2" hidden="1" x14ac:dyDescent="0.3">
      <c r="B531" s="146">
        <v>17</v>
      </c>
    </row>
    <row r="532" spans="2:2" hidden="1" x14ac:dyDescent="0.3">
      <c r="B532" s="146">
        <v>18</v>
      </c>
    </row>
    <row r="533" spans="2:2" hidden="1" x14ac:dyDescent="0.3">
      <c r="B533" s="146">
        <v>19</v>
      </c>
    </row>
    <row r="534" spans="2:2" hidden="1" x14ac:dyDescent="0.3">
      <c r="B534" s="146">
        <v>20</v>
      </c>
    </row>
    <row r="535" spans="2:2" hidden="1" x14ac:dyDescent="0.3">
      <c r="B535" s="146">
        <v>21</v>
      </c>
    </row>
    <row r="536" spans="2:2" hidden="1" x14ac:dyDescent="0.3">
      <c r="B536" s="146">
        <v>22</v>
      </c>
    </row>
    <row r="537" spans="2:2" hidden="1" x14ac:dyDescent="0.3">
      <c r="B537" s="146">
        <v>23</v>
      </c>
    </row>
    <row r="538" spans="2:2" hidden="1" x14ac:dyDescent="0.3">
      <c r="B538" s="146">
        <v>24</v>
      </c>
    </row>
    <row r="539" spans="2:2" hidden="1" x14ac:dyDescent="0.3">
      <c r="B539" s="146">
        <v>25</v>
      </c>
    </row>
    <row r="540" spans="2:2" hidden="1" x14ac:dyDescent="0.3">
      <c r="B540" s="146">
        <v>26</v>
      </c>
    </row>
    <row r="541" spans="2:2" hidden="1" x14ac:dyDescent="0.3">
      <c r="B541" s="146">
        <v>27</v>
      </c>
    </row>
    <row r="542" spans="2:2" hidden="1" x14ac:dyDescent="0.3">
      <c r="B542" s="146">
        <v>28</v>
      </c>
    </row>
    <row r="543" spans="2:2" hidden="1" x14ac:dyDescent="0.3">
      <c r="B543" s="146">
        <v>29</v>
      </c>
    </row>
    <row r="544" spans="2:2" hidden="1" x14ac:dyDescent="0.3">
      <c r="B544" s="146">
        <v>30</v>
      </c>
    </row>
    <row r="545" spans="2:2" hidden="1" x14ac:dyDescent="0.3">
      <c r="B545" s="146">
        <v>31</v>
      </c>
    </row>
    <row r="546" spans="2:2" hidden="1" x14ac:dyDescent="0.3">
      <c r="B546" s="146">
        <v>32</v>
      </c>
    </row>
    <row r="547" spans="2:2" hidden="1" x14ac:dyDescent="0.3">
      <c r="B547" s="146">
        <v>33</v>
      </c>
    </row>
    <row r="548" spans="2:2" hidden="1" x14ac:dyDescent="0.3">
      <c r="B548" s="146">
        <v>34</v>
      </c>
    </row>
    <row r="549" spans="2:2" hidden="1" x14ac:dyDescent="0.3">
      <c r="B549" s="146">
        <v>35</v>
      </c>
    </row>
    <row r="550" spans="2:2" hidden="1" x14ac:dyDescent="0.3">
      <c r="B550" s="146">
        <v>36</v>
      </c>
    </row>
    <row r="551" spans="2:2" hidden="1" x14ac:dyDescent="0.3">
      <c r="B551" s="146">
        <v>37</v>
      </c>
    </row>
    <row r="552" spans="2:2" hidden="1" x14ac:dyDescent="0.3">
      <c r="B552" s="146">
        <v>38</v>
      </c>
    </row>
    <row r="553" spans="2:2" hidden="1" x14ac:dyDescent="0.3">
      <c r="B553" s="146">
        <v>39</v>
      </c>
    </row>
    <row r="554" spans="2:2" hidden="1" x14ac:dyDescent="0.3">
      <c r="B554" s="146">
        <v>40</v>
      </c>
    </row>
    <row r="555" spans="2:2" hidden="1" x14ac:dyDescent="0.3">
      <c r="B555" s="146">
        <v>41</v>
      </c>
    </row>
    <row r="556" spans="2:2" hidden="1" x14ac:dyDescent="0.3">
      <c r="B556" s="146">
        <v>42</v>
      </c>
    </row>
    <row r="557" spans="2:2" hidden="1" x14ac:dyDescent="0.3">
      <c r="B557" s="146">
        <v>43</v>
      </c>
    </row>
    <row r="558" spans="2:2" hidden="1" x14ac:dyDescent="0.3">
      <c r="B558" s="146">
        <v>44</v>
      </c>
    </row>
    <row r="559" spans="2:2" hidden="1" x14ac:dyDescent="0.3">
      <c r="B559" s="146">
        <v>45</v>
      </c>
    </row>
    <row r="560" spans="2:2" hidden="1" x14ac:dyDescent="0.3">
      <c r="B560" s="146">
        <v>46</v>
      </c>
    </row>
    <row r="561" spans="2:2" hidden="1" x14ac:dyDescent="0.3">
      <c r="B561" s="146">
        <v>47</v>
      </c>
    </row>
    <row r="562" spans="2:2" hidden="1" x14ac:dyDescent="0.3">
      <c r="B562" s="146">
        <v>48</v>
      </c>
    </row>
    <row r="563" spans="2:2" hidden="1" x14ac:dyDescent="0.3">
      <c r="B563" s="146">
        <v>49</v>
      </c>
    </row>
    <row r="564" spans="2:2" hidden="1" x14ac:dyDescent="0.3">
      <c r="B564" s="146">
        <v>50</v>
      </c>
    </row>
    <row r="565" spans="2:2" hidden="1" x14ac:dyDescent="0.3">
      <c r="B565" s="146">
        <v>51</v>
      </c>
    </row>
    <row r="566" spans="2:2" hidden="1" x14ac:dyDescent="0.3">
      <c r="B566" s="146">
        <v>52</v>
      </c>
    </row>
    <row r="567" spans="2:2" hidden="1" x14ac:dyDescent="0.3">
      <c r="B567" s="146">
        <v>53</v>
      </c>
    </row>
    <row r="568" spans="2:2" hidden="1" x14ac:dyDescent="0.3">
      <c r="B568" s="146">
        <v>54</v>
      </c>
    </row>
    <row r="569" spans="2:2" hidden="1" x14ac:dyDescent="0.3">
      <c r="B569" s="146">
        <v>55</v>
      </c>
    </row>
    <row r="570" spans="2:2" hidden="1" x14ac:dyDescent="0.3">
      <c r="B570" s="146">
        <v>56</v>
      </c>
    </row>
    <row r="571" spans="2:2" hidden="1" x14ac:dyDescent="0.3">
      <c r="B571" s="146">
        <v>57</v>
      </c>
    </row>
    <row r="572" spans="2:2" hidden="1" x14ac:dyDescent="0.3">
      <c r="B572" s="146">
        <v>58</v>
      </c>
    </row>
    <row r="573" spans="2:2" hidden="1" x14ac:dyDescent="0.3">
      <c r="B573" s="146">
        <v>59</v>
      </c>
    </row>
    <row r="574" spans="2:2" hidden="1" x14ac:dyDescent="0.3">
      <c r="B574" s="146">
        <v>60</v>
      </c>
    </row>
    <row r="575" spans="2:2" hidden="1" x14ac:dyDescent="0.3">
      <c r="B575" s="146">
        <v>61</v>
      </c>
    </row>
    <row r="576" spans="2:2" hidden="1" x14ac:dyDescent="0.3">
      <c r="B576" s="146">
        <v>62</v>
      </c>
    </row>
    <row r="577" spans="2:2" hidden="1" x14ac:dyDescent="0.3">
      <c r="B577" s="146">
        <v>63</v>
      </c>
    </row>
    <row r="578" spans="2:2" hidden="1" x14ac:dyDescent="0.3">
      <c r="B578" s="146">
        <v>64</v>
      </c>
    </row>
    <row r="579" spans="2:2" hidden="1" x14ac:dyDescent="0.3">
      <c r="B579" s="146">
        <v>65</v>
      </c>
    </row>
    <row r="580" spans="2:2" hidden="1" x14ac:dyDescent="0.3">
      <c r="B580" s="146">
        <v>66</v>
      </c>
    </row>
    <row r="581" spans="2:2" hidden="1" x14ac:dyDescent="0.3">
      <c r="B581" s="146">
        <v>67</v>
      </c>
    </row>
    <row r="582" spans="2:2" hidden="1" x14ac:dyDescent="0.3">
      <c r="B582" s="146">
        <v>68</v>
      </c>
    </row>
    <row r="583" spans="2:2" hidden="1" x14ac:dyDescent="0.3">
      <c r="B583" s="146">
        <v>69</v>
      </c>
    </row>
    <row r="584" spans="2:2" hidden="1" x14ac:dyDescent="0.3">
      <c r="B584" s="146">
        <v>70</v>
      </c>
    </row>
    <row r="585" spans="2:2" hidden="1" x14ac:dyDescent="0.3">
      <c r="B585" s="146">
        <v>71</v>
      </c>
    </row>
    <row r="586" spans="2:2" hidden="1" x14ac:dyDescent="0.3">
      <c r="B586" s="146">
        <v>72</v>
      </c>
    </row>
    <row r="587" spans="2:2" hidden="1" x14ac:dyDescent="0.3">
      <c r="B587" s="146">
        <v>73</v>
      </c>
    </row>
    <row r="588" spans="2:2" hidden="1" x14ac:dyDescent="0.3">
      <c r="B588" s="146">
        <v>74</v>
      </c>
    </row>
    <row r="589" spans="2:2" hidden="1" x14ac:dyDescent="0.3">
      <c r="B589" s="146">
        <v>75</v>
      </c>
    </row>
    <row r="590" spans="2:2" hidden="1" x14ac:dyDescent="0.3">
      <c r="B590" s="146">
        <v>76</v>
      </c>
    </row>
    <row r="591" spans="2:2" hidden="1" x14ac:dyDescent="0.3">
      <c r="B591" s="146">
        <v>77</v>
      </c>
    </row>
    <row r="592" spans="2:2" hidden="1" x14ac:dyDescent="0.3">
      <c r="B592" s="146">
        <v>78</v>
      </c>
    </row>
    <row r="593" spans="2:2" hidden="1" x14ac:dyDescent="0.3">
      <c r="B593" s="146">
        <v>79</v>
      </c>
    </row>
    <row r="594" spans="2:2" hidden="1" x14ac:dyDescent="0.3">
      <c r="B594" s="146">
        <v>80</v>
      </c>
    </row>
    <row r="595" spans="2:2" hidden="1" x14ac:dyDescent="0.3">
      <c r="B595" s="146">
        <v>81</v>
      </c>
    </row>
    <row r="596" spans="2:2" hidden="1" x14ac:dyDescent="0.3">
      <c r="B596" s="146">
        <v>82</v>
      </c>
    </row>
    <row r="597" spans="2:2" hidden="1" x14ac:dyDescent="0.3">
      <c r="B597" s="146">
        <v>83</v>
      </c>
    </row>
    <row r="598" spans="2:2" hidden="1" x14ac:dyDescent="0.3">
      <c r="B598" s="146">
        <v>84</v>
      </c>
    </row>
    <row r="599" spans="2:2" hidden="1" x14ac:dyDescent="0.3">
      <c r="B599" s="146">
        <v>85</v>
      </c>
    </row>
    <row r="600" spans="2:2" hidden="1" x14ac:dyDescent="0.3">
      <c r="B600" s="146">
        <v>86</v>
      </c>
    </row>
    <row r="601" spans="2:2" hidden="1" x14ac:dyDescent="0.3">
      <c r="B601" s="146">
        <v>87</v>
      </c>
    </row>
    <row r="602" spans="2:2" hidden="1" x14ac:dyDescent="0.3">
      <c r="B602" s="146">
        <v>88</v>
      </c>
    </row>
    <row r="603" spans="2:2" hidden="1" x14ac:dyDescent="0.3">
      <c r="B603" s="146">
        <v>89</v>
      </c>
    </row>
    <row r="604" spans="2:2" hidden="1" x14ac:dyDescent="0.3">
      <c r="B604" s="146">
        <v>90</v>
      </c>
    </row>
    <row r="605" spans="2:2" hidden="1" x14ac:dyDescent="0.3">
      <c r="B605" s="146">
        <v>91</v>
      </c>
    </row>
    <row r="606" spans="2:2" hidden="1" x14ac:dyDescent="0.3">
      <c r="B606" s="146">
        <v>92</v>
      </c>
    </row>
    <row r="607" spans="2:2" hidden="1" x14ac:dyDescent="0.3">
      <c r="B607" s="146">
        <v>93</v>
      </c>
    </row>
    <row r="608" spans="2:2" hidden="1" x14ac:dyDescent="0.3">
      <c r="B608" s="146">
        <v>94</v>
      </c>
    </row>
    <row r="609" spans="2:2" hidden="1" x14ac:dyDescent="0.3">
      <c r="B609" s="146">
        <v>95</v>
      </c>
    </row>
    <row r="610" spans="2:2" hidden="1" x14ac:dyDescent="0.3">
      <c r="B610" s="146">
        <v>96</v>
      </c>
    </row>
    <row r="611" spans="2:2" hidden="1" x14ac:dyDescent="0.3">
      <c r="B611" s="146">
        <v>97</v>
      </c>
    </row>
    <row r="612" spans="2:2" hidden="1" x14ac:dyDescent="0.3">
      <c r="B612" s="146">
        <v>98</v>
      </c>
    </row>
    <row r="613" spans="2:2" hidden="1" x14ac:dyDescent="0.3">
      <c r="B613" s="146">
        <v>99</v>
      </c>
    </row>
    <row r="614" spans="2:2" hidden="1" x14ac:dyDescent="0.3">
      <c r="B614" s="146">
        <v>100</v>
      </c>
    </row>
    <row r="615" spans="2:2" hidden="1" x14ac:dyDescent="0.3">
      <c r="B615" s="146">
        <v>101</v>
      </c>
    </row>
    <row r="616" spans="2:2" hidden="1" x14ac:dyDescent="0.3">
      <c r="B616" s="146">
        <v>102</v>
      </c>
    </row>
    <row r="617" spans="2:2" hidden="1" x14ac:dyDescent="0.3">
      <c r="B617" s="146">
        <v>103</v>
      </c>
    </row>
    <row r="618" spans="2:2" hidden="1" x14ac:dyDescent="0.3">
      <c r="B618" s="146">
        <v>104</v>
      </c>
    </row>
    <row r="619" spans="2:2" hidden="1" x14ac:dyDescent="0.3">
      <c r="B619" s="146">
        <v>105</v>
      </c>
    </row>
    <row r="620" spans="2:2" hidden="1" x14ac:dyDescent="0.3">
      <c r="B620" s="146">
        <v>106</v>
      </c>
    </row>
    <row r="621" spans="2:2" hidden="1" x14ac:dyDescent="0.3">
      <c r="B621" s="146">
        <v>107</v>
      </c>
    </row>
    <row r="622" spans="2:2" hidden="1" x14ac:dyDescent="0.3">
      <c r="B622" s="146">
        <v>108</v>
      </c>
    </row>
    <row r="623" spans="2:2" hidden="1" x14ac:dyDescent="0.3">
      <c r="B623" s="146">
        <v>109</v>
      </c>
    </row>
    <row r="624" spans="2:2" hidden="1" x14ac:dyDescent="0.3">
      <c r="B624" s="146">
        <v>110</v>
      </c>
    </row>
    <row r="625" spans="2:2" hidden="1" x14ac:dyDescent="0.3">
      <c r="B625" s="146">
        <v>111</v>
      </c>
    </row>
    <row r="626" spans="2:2" hidden="1" x14ac:dyDescent="0.3">
      <c r="B626" s="146">
        <v>112</v>
      </c>
    </row>
    <row r="627" spans="2:2" hidden="1" x14ac:dyDescent="0.3">
      <c r="B627" s="146">
        <v>113</v>
      </c>
    </row>
    <row r="628" spans="2:2" hidden="1" x14ac:dyDescent="0.3">
      <c r="B628" s="146">
        <v>114</v>
      </c>
    </row>
    <row r="629" spans="2:2" hidden="1" x14ac:dyDescent="0.3">
      <c r="B629" s="146">
        <v>115</v>
      </c>
    </row>
    <row r="630" spans="2:2" hidden="1" x14ac:dyDescent="0.3">
      <c r="B630" s="146">
        <v>116</v>
      </c>
    </row>
    <row r="631" spans="2:2" hidden="1" x14ac:dyDescent="0.3">
      <c r="B631" s="146">
        <v>117</v>
      </c>
    </row>
    <row r="632" spans="2:2" hidden="1" x14ac:dyDescent="0.3">
      <c r="B632" s="146">
        <v>118</v>
      </c>
    </row>
    <row r="633" spans="2:2" hidden="1" x14ac:dyDescent="0.3">
      <c r="B633" s="146">
        <v>119</v>
      </c>
    </row>
    <row r="634" spans="2:2" hidden="1" x14ac:dyDescent="0.3">
      <c r="B634" s="146">
        <v>120</v>
      </c>
    </row>
    <row r="635" spans="2:2" hidden="1" x14ac:dyDescent="0.3">
      <c r="B635" s="146">
        <v>121</v>
      </c>
    </row>
    <row r="636" spans="2:2" hidden="1" x14ac:dyDescent="0.3">
      <c r="B636" s="146">
        <v>122</v>
      </c>
    </row>
    <row r="637" spans="2:2" hidden="1" x14ac:dyDescent="0.3">
      <c r="B637" s="146">
        <v>123</v>
      </c>
    </row>
    <row r="638" spans="2:2" hidden="1" x14ac:dyDescent="0.3">
      <c r="B638" s="146">
        <v>124</v>
      </c>
    </row>
    <row r="639" spans="2:2" hidden="1" x14ac:dyDescent="0.3">
      <c r="B639" s="146">
        <v>125</v>
      </c>
    </row>
    <row r="640" spans="2:2" hidden="1" x14ac:dyDescent="0.3">
      <c r="B640" s="146">
        <v>126</v>
      </c>
    </row>
    <row r="641" spans="2:2" hidden="1" x14ac:dyDescent="0.3">
      <c r="B641" s="146">
        <v>127</v>
      </c>
    </row>
    <row r="642" spans="2:2" hidden="1" x14ac:dyDescent="0.3">
      <c r="B642" s="146">
        <v>128</v>
      </c>
    </row>
    <row r="643" spans="2:2" hidden="1" x14ac:dyDescent="0.3">
      <c r="B643" s="146">
        <v>129</v>
      </c>
    </row>
    <row r="644" spans="2:2" hidden="1" x14ac:dyDescent="0.3">
      <c r="B644" s="146">
        <v>130</v>
      </c>
    </row>
    <row r="645" spans="2:2" hidden="1" x14ac:dyDescent="0.3">
      <c r="B645" s="146">
        <v>131</v>
      </c>
    </row>
    <row r="646" spans="2:2" hidden="1" x14ac:dyDescent="0.3">
      <c r="B646" s="146">
        <v>132</v>
      </c>
    </row>
    <row r="647" spans="2:2" hidden="1" x14ac:dyDescent="0.3">
      <c r="B647" s="146">
        <v>133</v>
      </c>
    </row>
    <row r="648" spans="2:2" hidden="1" x14ac:dyDescent="0.3">
      <c r="B648" s="146">
        <v>134</v>
      </c>
    </row>
    <row r="649" spans="2:2" hidden="1" x14ac:dyDescent="0.3">
      <c r="B649" s="146">
        <v>135</v>
      </c>
    </row>
    <row r="650" spans="2:2" hidden="1" x14ac:dyDescent="0.3">
      <c r="B650" s="146">
        <v>136</v>
      </c>
    </row>
    <row r="651" spans="2:2" hidden="1" x14ac:dyDescent="0.3">
      <c r="B651" s="146">
        <v>137</v>
      </c>
    </row>
    <row r="652" spans="2:2" hidden="1" x14ac:dyDescent="0.3">
      <c r="B652" s="146">
        <v>138</v>
      </c>
    </row>
    <row r="653" spans="2:2" hidden="1" x14ac:dyDescent="0.3">
      <c r="B653" s="146">
        <v>139</v>
      </c>
    </row>
    <row r="654" spans="2:2" hidden="1" x14ac:dyDescent="0.3">
      <c r="B654" s="146">
        <v>140</v>
      </c>
    </row>
    <row r="655" spans="2:2" hidden="1" x14ac:dyDescent="0.3">
      <c r="B655" s="146">
        <v>141</v>
      </c>
    </row>
    <row r="656" spans="2:2" hidden="1" x14ac:dyDescent="0.3">
      <c r="B656" s="146">
        <v>142</v>
      </c>
    </row>
    <row r="657" spans="2:2" hidden="1" x14ac:dyDescent="0.3">
      <c r="B657" s="146">
        <v>143</v>
      </c>
    </row>
    <row r="658" spans="2:2" hidden="1" x14ac:dyDescent="0.3">
      <c r="B658" s="146">
        <v>144</v>
      </c>
    </row>
    <row r="659" spans="2:2" hidden="1" x14ac:dyDescent="0.3">
      <c r="B659" s="146">
        <v>145</v>
      </c>
    </row>
    <row r="660" spans="2:2" hidden="1" x14ac:dyDescent="0.3">
      <c r="B660" s="146">
        <v>146</v>
      </c>
    </row>
    <row r="661" spans="2:2" hidden="1" x14ac:dyDescent="0.3">
      <c r="B661" s="146">
        <v>147</v>
      </c>
    </row>
    <row r="662" spans="2:2" hidden="1" x14ac:dyDescent="0.3">
      <c r="B662" s="146">
        <v>148</v>
      </c>
    </row>
    <row r="663" spans="2:2" hidden="1" x14ac:dyDescent="0.3">
      <c r="B663" s="146">
        <v>149</v>
      </c>
    </row>
    <row r="664" spans="2:2" hidden="1" x14ac:dyDescent="0.3">
      <c r="B664" s="146">
        <v>150</v>
      </c>
    </row>
    <row r="665" spans="2:2" hidden="1" x14ac:dyDescent="0.3"/>
    <row r="666" spans="2:2" hidden="1" x14ac:dyDescent="0.3"/>
    <row r="667" spans="2:2" hidden="1" x14ac:dyDescent="0.3"/>
    <row r="668" spans="2:2" hidden="1" x14ac:dyDescent="0.3"/>
    <row r="669" spans="2:2" hidden="1" x14ac:dyDescent="0.3"/>
    <row r="670" spans="2:2" hidden="1" x14ac:dyDescent="0.3"/>
  </sheetData>
  <sheetProtection sheet="1" objects="1" scenarios="1"/>
  <mergeCells count="1221">
    <mergeCell ref="G382:I382"/>
    <mergeCell ref="J382:K382"/>
    <mergeCell ref="J384:K384"/>
    <mergeCell ref="L383:O383"/>
    <mergeCell ref="L384:O384"/>
    <mergeCell ref="E232:K233"/>
    <mergeCell ref="B232:B233"/>
    <mergeCell ref="B373:O373"/>
    <mergeCell ref="J346:K346"/>
    <mergeCell ref="J343:K343"/>
    <mergeCell ref="G350:I350"/>
    <mergeCell ref="B335:O335"/>
    <mergeCell ref="G349:I349"/>
    <mergeCell ref="B349:D349"/>
    <mergeCell ref="E348:F348"/>
    <mergeCell ref="E351:F351"/>
    <mergeCell ref="R406:R407"/>
    <mergeCell ref="L362:O367"/>
    <mergeCell ref="B368:O368"/>
    <mergeCell ref="J351:K351"/>
    <mergeCell ref="J349:K349"/>
    <mergeCell ref="B352:D352"/>
    <mergeCell ref="B350:D350"/>
    <mergeCell ref="G356:I356"/>
    <mergeCell ref="B357:D357"/>
    <mergeCell ref="G347:I347"/>
    <mergeCell ref="J348:K348"/>
    <mergeCell ref="G358:I358"/>
    <mergeCell ref="G357:I357"/>
    <mergeCell ref="B348:D348"/>
    <mergeCell ref="G257:O257"/>
    <mergeCell ref="F250:G250"/>
    <mergeCell ref="Y11:AB11"/>
    <mergeCell ref="K20:N20"/>
    <mergeCell ref="K21:O21"/>
    <mergeCell ref="E20:J21"/>
    <mergeCell ref="C21:D21"/>
    <mergeCell ref="K178:N178"/>
    <mergeCell ref="K179:O179"/>
    <mergeCell ref="K138:N138"/>
    <mergeCell ref="K139:O139"/>
    <mergeCell ref="K58:N58"/>
    <mergeCell ref="K59:O59"/>
    <mergeCell ref="Y52:AA52"/>
    <mergeCell ref="E58:J59"/>
    <mergeCell ref="C59:D59"/>
    <mergeCell ref="Y92:AA92"/>
    <mergeCell ref="E98:J99"/>
    <mergeCell ref="C99:D99"/>
    <mergeCell ref="E138:J139"/>
    <mergeCell ref="C139:D139"/>
    <mergeCell ref="Y132:AA132"/>
    <mergeCell ref="Y172:AA172"/>
    <mergeCell ref="E178:J179"/>
    <mergeCell ref="C179:D179"/>
    <mergeCell ref="L37:O40"/>
    <mergeCell ref="B41:O41"/>
    <mergeCell ref="L77:O80"/>
    <mergeCell ref="B81:O81"/>
    <mergeCell ref="L56:O56"/>
    <mergeCell ref="J56:K56"/>
    <mergeCell ref="G55:O55"/>
    <mergeCell ref="T52:U52"/>
    <mergeCell ref="AA88:AD88"/>
    <mergeCell ref="T165:T166"/>
    <mergeCell ref="AD229:AG229"/>
    <mergeCell ref="S270:T270"/>
    <mergeCell ref="W377:X377"/>
    <mergeCell ref="S271:T271"/>
    <mergeCell ref="R280:S280"/>
    <mergeCell ref="V376:Y376"/>
    <mergeCell ref="L90:N90"/>
    <mergeCell ref="B91:O91"/>
    <mergeCell ref="R238:R239"/>
    <mergeCell ref="R242:R243"/>
    <mergeCell ref="R129:R130"/>
    <mergeCell ref="V133:W133"/>
    <mergeCell ref="R146:S146"/>
    <mergeCell ref="R169:R170"/>
    <mergeCell ref="T132:U132"/>
    <mergeCell ref="T92:U92"/>
    <mergeCell ref="V173:W173"/>
    <mergeCell ref="R186:S186"/>
    <mergeCell ref="Z252:AB252"/>
    <mergeCell ref="E154:F154"/>
    <mergeCell ref="J158:K158"/>
    <mergeCell ref="B155:D155"/>
    <mergeCell ref="E155:F155"/>
    <mergeCell ref="B162:O162"/>
    <mergeCell ref="J160:K160"/>
    <mergeCell ref="G152:K152"/>
    <mergeCell ref="C188:D188"/>
    <mergeCell ref="B191:O191"/>
    <mergeCell ref="G223:O223"/>
    <mergeCell ref="C227:F227"/>
    <mergeCell ref="AA295:AB295"/>
    <mergeCell ref="AA296:AB296"/>
    <mergeCell ref="AA297:AB297"/>
    <mergeCell ref="Z105:AB105"/>
    <mergeCell ref="R89:R90"/>
    <mergeCell ref="V93:W93"/>
    <mergeCell ref="Z253:AB253"/>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G157:I157"/>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4:D464"/>
    <mergeCell ref="E97:F97"/>
    <mergeCell ref="C383:D383"/>
    <mergeCell ref="G97:O97"/>
    <mergeCell ref="E95:F95"/>
    <mergeCell ref="E113:F113"/>
    <mergeCell ref="L112:O112"/>
    <mergeCell ref="L113:O114"/>
    <mergeCell ref="C108:D108"/>
    <mergeCell ref="E108:O108"/>
    <mergeCell ref="G95:O95"/>
    <mergeCell ref="L450:O450"/>
    <mergeCell ref="L466:O471"/>
    <mergeCell ref="C385:D385"/>
    <mergeCell ref="C379:D379"/>
    <mergeCell ref="B393:O393"/>
    <mergeCell ref="B394:O394"/>
    <mergeCell ref="J385:K385"/>
    <mergeCell ref="C382:D382"/>
    <mergeCell ref="E380:F380"/>
    <mergeCell ref="C384:D384"/>
    <mergeCell ref="N146:O146"/>
    <mergeCell ref="E378:F378"/>
    <mergeCell ref="J386:K386"/>
    <mergeCell ref="L382:O382"/>
    <mergeCell ref="G387:I387"/>
    <mergeCell ref="G383:I383"/>
    <mergeCell ref="J383:K383"/>
    <mergeCell ref="L227:O227"/>
    <mergeCell ref="E365:F365"/>
    <mergeCell ref="G227:K227"/>
    <mergeCell ref="B439:M439"/>
    <mergeCell ref="Z146:AB146"/>
    <mergeCell ref="B117:D117"/>
    <mergeCell ref="B463:D463"/>
    <mergeCell ref="T45:T46"/>
    <mergeCell ref="T85:T86"/>
    <mergeCell ref="T125:T126"/>
    <mergeCell ref="R66:S66"/>
    <mergeCell ref="R49:R50"/>
    <mergeCell ref="E377:F377"/>
    <mergeCell ref="B388:O388"/>
    <mergeCell ref="C396:O396"/>
    <mergeCell ref="B391:O391"/>
    <mergeCell ref="C386:D386"/>
    <mergeCell ref="E386:F386"/>
    <mergeCell ref="L385:O385"/>
    <mergeCell ref="G384:I384"/>
    <mergeCell ref="E384:F384"/>
    <mergeCell ref="G379:I379"/>
    <mergeCell ref="E379:F379"/>
    <mergeCell ref="N106:O106"/>
    <mergeCell ref="C90:K90"/>
    <mergeCell ref="G92:K92"/>
    <mergeCell ref="C92:F92"/>
    <mergeCell ref="L94:O94"/>
    <mergeCell ref="C110:D110"/>
    <mergeCell ref="B113:D113"/>
    <mergeCell ref="E93:F93"/>
    <mergeCell ref="E456:F456"/>
    <mergeCell ref="J462:K462"/>
    <mergeCell ref="E462:F462"/>
    <mergeCell ref="E434:F434"/>
    <mergeCell ref="C378:D378"/>
    <mergeCell ref="C501:G501"/>
    <mergeCell ref="H501:M501"/>
    <mergeCell ref="J471:K471"/>
    <mergeCell ref="E470:F470"/>
    <mergeCell ref="J470:K470"/>
    <mergeCell ref="J468:K468"/>
    <mergeCell ref="G470:I470"/>
    <mergeCell ref="B460:D460"/>
    <mergeCell ref="G458:I458"/>
    <mergeCell ref="B458:D458"/>
    <mergeCell ref="B466:D466"/>
    <mergeCell ref="E466:F466"/>
    <mergeCell ref="G465:I465"/>
    <mergeCell ref="G466:I466"/>
    <mergeCell ref="E460:F460"/>
    <mergeCell ref="E461:F461"/>
    <mergeCell ref="G460:I460"/>
    <mergeCell ref="C484:D484"/>
    <mergeCell ref="C480:D480"/>
    <mergeCell ref="F480:G480"/>
    <mergeCell ref="B469:D469"/>
    <mergeCell ref="B472:O472"/>
    <mergeCell ref="E467:F467"/>
    <mergeCell ref="H480:I480"/>
    <mergeCell ref="J480:M480"/>
    <mergeCell ref="N480:P480"/>
    <mergeCell ref="C479:D479"/>
    <mergeCell ref="F479:G479"/>
    <mergeCell ref="H479:I479"/>
    <mergeCell ref="J479:M479"/>
    <mergeCell ref="C478:D478"/>
    <mergeCell ref="F478:G478"/>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6:O436"/>
    <mergeCell ref="L446:M446"/>
    <mergeCell ref="B440:P440"/>
    <mergeCell ref="B457:D457"/>
    <mergeCell ref="B470:D470"/>
    <mergeCell ref="E455:F455"/>
    <mergeCell ref="J455:K455"/>
    <mergeCell ref="B459:D459"/>
    <mergeCell ref="E471:F471"/>
    <mergeCell ref="B467:D467"/>
    <mergeCell ref="B468:D468"/>
    <mergeCell ref="F295:L295"/>
    <mergeCell ref="F318:O318"/>
    <mergeCell ref="G261:O261"/>
    <mergeCell ref="G262:O262"/>
    <mergeCell ref="N306:P306"/>
    <mergeCell ref="B277:P277"/>
    <mergeCell ref="N273:O273"/>
    <mergeCell ref="B266:O266"/>
    <mergeCell ref="F336:L336"/>
    <mergeCell ref="B337:O337"/>
    <mergeCell ref="F333:L333"/>
    <mergeCell ref="B328:O328"/>
    <mergeCell ref="F326:L326"/>
    <mergeCell ref="E262:F262"/>
    <mergeCell ref="F316:L316"/>
    <mergeCell ref="F325:L325"/>
    <mergeCell ref="L274:M274"/>
    <mergeCell ref="J377:K377"/>
    <mergeCell ref="C377:D377"/>
    <mergeCell ref="F314:L314"/>
    <mergeCell ref="B375:O375"/>
    <mergeCell ref="E231:F231"/>
    <mergeCell ref="G231:O231"/>
    <mergeCell ref="E257:F257"/>
    <mergeCell ref="G260:O260"/>
    <mergeCell ref="G243:O243"/>
    <mergeCell ref="C177:D177"/>
    <mergeCell ref="J195:K195"/>
    <mergeCell ref="B206:O206"/>
    <mergeCell ref="F208:G208"/>
    <mergeCell ref="F209:G209"/>
    <mergeCell ref="C233:D233"/>
    <mergeCell ref="B220:O220"/>
    <mergeCell ref="F273:K273"/>
    <mergeCell ref="F270:K270"/>
    <mergeCell ref="E263:F263"/>
    <mergeCell ref="C271:E271"/>
    <mergeCell ref="B255:O255"/>
    <mergeCell ref="B252:O252"/>
    <mergeCell ref="B254:M254"/>
    <mergeCell ref="B269:O269"/>
    <mergeCell ref="B267:M267"/>
    <mergeCell ref="N270:O270"/>
    <mergeCell ref="N272:O272"/>
    <mergeCell ref="F271:K271"/>
    <mergeCell ref="L271:M271"/>
    <mergeCell ref="H216:O216"/>
    <mergeCell ref="L230:O230"/>
    <mergeCell ref="N271:O271"/>
    <mergeCell ref="E260:F260"/>
    <mergeCell ref="B253:M253"/>
    <mergeCell ref="B196:D196"/>
    <mergeCell ref="G259:O259"/>
    <mergeCell ref="P221:P233"/>
    <mergeCell ref="G172:K172"/>
    <mergeCell ref="E160:F160"/>
    <mergeCell ref="B304:P304"/>
    <mergeCell ref="B256:O256"/>
    <mergeCell ref="G222:I222"/>
    <mergeCell ref="C224:D224"/>
    <mergeCell ref="J224:K224"/>
    <mergeCell ref="G173:I173"/>
    <mergeCell ref="J173:K173"/>
    <mergeCell ref="C190:D190"/>
    <mergeCell ref="E199:F199"/>
    <mergeCell ref="L157:O160"/>
    <mergeCell ref="B161:O161"/>
    <mergeCell ref="E261:F261"/>
    <mergeCell ref="B250:E250"/>
    <mergeCell ref="B243:F243"/>
    <mergeCell ref="B244:O244"/>
    <mergeCell ref="E258:F258"/>
    <mergeCell ref="E259:F259"/>
    <mergeCell ref="F284:L284"/>
    <mergeCell ref="B265:O265"/>
    <mergeCell ref="F212:G212"/>
    <mergeCell ref="C238:N238"/>
    <mergeCell ref="B236:O236"/>
    <mergeCell ref="C247:O247"/>
    <mergeCell ref="H215:O215"/>
    <mergeCell ref="L170:N170"/>
    <mergeCell ref="N186:O186"/>
    <mergeCell ref="J228:K228"/>
    <mergeCell ref="B268:O268"/>
    <mergeCell ref="L270:M270"/>
    <mergeCell ref="B124:P124"/>
    <mergeCell ref="B251:O251"/>
    <mergeCell ref="G248:O248"/>
    <mergeCell ref="B245:O245"/>
    <mergeCell ref="B362:D362"/>
    <mergeCell ref="E367:F367"/>
    <mergeCell ref="B369:P369"/>
    <mergeCell ref="B370:P370"/>
    <mergeCell ref="E362:F362"/>
    <mergeCell ref="J361:K361"/>
    <mergeCell ref="G360:I360"/>
    <mergeCell ref="B332:D334"/>
    <mergeCell ref="F334:L334"/>
    <mergeCell ref="L353:O358"/>
    <mergeCell ref="C142:N142"/>
    <mergeCell ref="J154:K154"/>
    <mergeCell ref="B126:O126"/>
    <mergeCell ref="C129:K129"/>
    <mergeCell ref="B331:D331"/>
    <mergeCell ref="F331:L331"/>
    <mergeCell ref="J350:K350"/>
    <mergeCell ref="G352:I352"/>
    <mergeCell ref="J352:K352"/>
    <mergeCell ref="B127:P127"/>
    <mergeCell ref="B235:O235"/>
    <mergeCell ref="B246:O246"/>
    <mergeCell ref="G258:O258"/>
    <mergeCell ref="B257:D263"/>
    <mergeCell ref="P270:P275"/>
    <mergeCell ref="F274:K274"/>
    <mergeCell ref="N253:O253"/>
    <mergeCell ref="J353:K353"/>
    <mergeCell ref="P341:P368"/>
    <mergeCell ref="B366:D366"/>
    <mergeCell ref="G342:I342"/>
    <mergeCell ref="C380:D380"/>
    <mergeCell ref="B361:D361"/>
    <mergeCell ref="G364:I364"/>
    <mergeCell ref="E355:F355"/>
    <mergeCell ref="E345:F345"/>
    <mergeCell ref="E346:F346"/>
    <mergeCell ref="B336:D336"/>
    <mergeCell ref="G348:I348"/>
    <mergeCell ref="E342:F342"/>
    <mergeCell ref="E347:F347"/>
    <mergeCell ref="G343:I343"/>
    <mergeCell ref="G345:I345"/>
    <mergeCell ref="J345:K345"/>
    <mergeCell ref="E344:F344"/>
    <mergeCell ref="E343:F343"/>
    <mergeCell ref="G344:I344"/>
    <mergeCell ref="J342:K342"/>
    <mergeCell ref="B342:D342"/>
    <mergeCell ref="G341:K341"/>
    <mergeCell ref="B351:D351"/>
    <mergeCell ref="J344:K344"/>
    <mergeCell ref="B340:P340"/>
    <mergeCell ref="E363:F363"/>
    <mergeCell ref="E364:F364"/>
    <mergeCell ref="B367:D367"/>
    <mergeCell ref="B371:O371"/>
    <mergeCell ref="C376:F376"/>
    <mergeCell ref="B356:D356"/>
    <mergeCell ref="E350:F350"/>
    <mergeCell ref="E354:F354"/>
    <mergeCell ref="B354:D354"/>
    <mergeCell ref="J355:K355"/>
    <mergeCell ref="E359:F359"/>
    <mergeCell ref="B358:D358"/>
    <mergeCell ref="B353:D353"/>
    <mergeCell ref="E357:F357"/>
    <mergeCell ref="G351:I351"/>
    <mergeCell ref="J347:K347"/>
    <mergeCell ref="G346:I346"/>
    <mergeCell ref="B341:F341"/>
    <mergeCell ref="B338:O338"/>
    <mergeCell ref="G353:I353"/>
    <mergeCell ref="B359:D359"/>
    <mergeCell ref="J362:K362"/>
    <mergeCell ref="J357:K357"/>
    <mergeCell ref="J358:K358"/>
    <mergeCell ref="F283:L283"/>
    <mergeCell ref="B307:M307"/>
    <mergeCell ref="F309:L309"/>
    <mergeCell ref="F330:L330"/>
    <mergeCell ref="F319:L319"/>
    <mergeCell ref="B321:D322"/>
    <mergeCell ref="B329:D329"/>
    <mergeCell ref="L273:M273"/>
    <mergeCell ref="F324:L324"/>
    <mergeCell ref="F313:L313"/>
    <mergeCell ref="F288:L288"/>
    <mergeCell ref="F310:L310"/>
    <mergeCell ref="B330:D330"/>
    <mergeCell ref="B305:P305"/>
    <mergeCell ref="F285:L285"/>
    <mergeCell ref="B286:L286"/>
    <mergeCell ref="B281:D285"/>
    <mergeCell ref="F312:L312"/>
    <mergeCell ref="B293:D302"/>
    <mergeCell ref="F301:L301"/>
    <mergeCell ref="C273:E273"/>
    <mergeCell ref="F281:L281"/>
    <mergeCell ref="F317:L317"/>
    <mergeCell ref="F327:L327"/>
    <mergeCell ref="F311:L311"/>
    <mergeCell ref="F300:L300"/>
    <mergeCell ref="B280:L280"/>
    <mergeCell ref="B278:P278"/>
    <mergeCell ref="F291:L291"/>
    <mergeCell ref="C274:E274"/>
    <mergeCell ref="N274:O274"/>
    <mergeCell ref="B279:L279"/>
    <mergeCell ref="B125:P125"/>
    <mergeCell ref="B141:O141"/>
    <mergeCell ref="C97:D97"/>
    <mergeCell ref="C130:K130"/>
    <mergeCell ref="C63:N63"/>
    <mergeCell ref="B64:O64"/>
    <mergeCell ref="B77:D77"/>
    <mergeCell ref="E77:F77"/>
    <mergeCell ref="L92:O92"/>
    <mergeCell ref="C89:K89"/>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C56:D56"/>
    <mergeCell ref="E56:F56"/>
    <mergeCell ref="B86:O86"/>
    <mergeCell ref="C96:D96"/>
    <mergeCell ref="J96:K96"/>
    <mergeCell ref="G77:I77"/>
    <mergeCell ref="G79:I79"/>
    <mergeCell ref="C134:D134"/>
    <mergeCell ref="B171:O171"/>
    <mergeCell ref="C133:D133"/>
    <mergeCell ref="J16:K16"/>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B166:O166"/>
    <mergeCell ref="B160:D160"/>
    <mergeCell ref="B37:D37"/>
    <mergeCell ref="B47:P47"/>
    <mergeCell ref="B79:D79"/>
    <mergeCell ref="P72:P81"/>
    <mergeCell ref="G72:K72"/>
    <mergeCell ref="G73:I73"/>
    <mergeCell ref="J73:K73"/>
    <mergeCell ref="L197:O200"/>
    <mergeCell ref="B201:O201"/>
    <mergeCell ref="P128:P138"/>
    <mergeCell ref="G135:O135"/>
    <mergeCell ref="C94:D94"/>
    <mergeCell ref="L89:N89"/>
    <mergeCell ref="G37:I37"/>
    <mergeCell ref="J37:K37"/>
    <mergeCell ref="E38:F38"/>
    <mergeCell ref="G38:I38"/>
    <mergeCell ref="C57:D57"/>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Y24:Y25"/>
    <mergeCell ref="C25:N25"/>
    <mergeCell ref="B26:O26"/>
    <mergeCell ref="L33:O34"/>
    <mergeCell ref="G36:I36"/>
    <mergeCell ref="J36:K36"/>
    <mergeCell ref="B27:O27"/>
    <mergeCell ref="C24:N24"/>
    <mergeCell ref="B46:O46"/>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B208:E208"/>
    <mergeCell ref="B264:O264"/>
    <mergeCell ref="C270:E270"/>
    <mergeCell ref="L379:O379"/>
    <mergeCell ref="C275:O275"/>
    <mergeCell ref="C272:E272"/>
    <mergeCell ref="L233:N233"/>
    <mergeCell ref="L234:O234"/>
    <mergeCell ref="F299:O299"/>
    <mergeCell ref="F302:L302"/>
    <mergeCell ref="F308:L308"/>
    <mergeCell ref="F294:L294"/>
    <mergeCell ref="N279:P279"/>
    <mergeCell ref="F282:L282"/>
    <mergeCell ref="M279:M280"/>
    <mergeCell ref="F293:L293"/>
    <mergeCell ref="N292:O292"/>
    <mergeCell ref="B276:O276"/>
    <mergeCell ref="C231:D231"/>
    <mergeCell ref="L272:M272"/>
    <mergeCell ref="E223:F223"/>
    <mergeCell ref="G228:I228"/>
    <mergeCell ref="E230:F230"/>
    <mergeCell ref="C230:D230"/>
    <mergeCell ref="G229:O229"/>
    <mergeCell ref="B237:O237"/>
    <mergeCell ref="B249:O249"/>
    <mergeCell ref="G242:O242"/>
    <mergeCell ref="B241:O241"/>
    <mergeCell ref="G263:O263"/>
    <mergeCell ref="H250:O250"/>
    <mergeCell ref="F323:L323"/>
    <mergeCell ref="B5:P5"/>
    <mergeCell ref="B6:P6"/>
    <mergeCell ref="L13:O13"/>
    <mergeCell ref="J12:K12"/>
    <mergeCell ref="C11:F11"/>
    <mergeCell ref="B34:D34"/>
    <mergeCell ref="E34:F34"/>
    <mergeCell ref="B35:D35"/>
    <mergeCell ref="J34:K34"/>
    <mergeCell ref="G13:I13"/>
    <mergeCell ref="J222:K222"/>
    <mergeCell ref="N267:O267"/>
    <mergeCell ref="F272:K272"/>
    <mergeCell ref="F329:L329"/>
    <mergeCell ref="P394:P395"/>
    <mergeCell ref="B395:O395"/>
    <mergeCell ref="P390:P391"/>
    <mergeCell ref="G385:I385"/>
    <mergeCell ref="C392:O392"/>
    <mergeCell ref="C387:D387"/>
    <mergeCell ref="L386:O386"/>
    <mergeCell ref="L387:O387"/>
    <mergeCell ref="B389:O389"/>
    <mergeCell ref="P382:P387"/>
    <mergeCell ref="L192:O192"/>
    <mergeCell ref="L193:O194"/>
    <mergeCell ref="E193:F193"/>
    <mergeCell ref="J194:K194"/>
    <mergeCell ref="J196:K196"/>
    <mergeCell ref="E196:F196"/>
    <mergeCell ref="G197:I197"/>
    <mergeCell ref="G196:I196"/>
    <mergeCell ref="E135:F135"/>
    <mergeCell ref="B159:D159"/>
    <mergeCell ref="J133:K133"/>
    <mergeCell ref="C143:N143"/>
    <mergeCell ref="L172:O172"/>
    <mergeCell ref="C183:N183"/>
    <mergeCell ref="B200:D200"/>
    <mergeCell ref="C189:D189"/>
    <mergeCell ref="B180:O180"/>
    <mergeCell ref="J197:K19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C173:D173"/>
    <mergeCell ref="B198:D198"/>
    <mergeCell ref="E190:O190"/>
    <mergeCell ref="B204:P204"/>
    <mergeCell ref="B194:D194"/>
    <mergeCell ref="E194:F194"/>
    <mergeCell ref="E200:F200"/>
    <mergeCell ref="B203:O203"/>
    <mergeCell ref="G160:I160"/>
    <mergeCell ref="E177:F177"/>
    <mergeCell ref="G177:O177"/>
    <mergeCell ref="G200:I200"/>
    <mergeCell ref="J200:K200"/>
    <mergeCell ref="L173:O173"/>
    <mergeCell ref="J174:K174"/>
    <mergeCell ref="G176:I176"/>
    <mergeCell ref="B202:O202"/>
    <mergeCell ref="B199:D199"/>
    <mergeCell ref="J199:K199"/>
    <mergeCell ref="G199:I199"/>
    <mergeCell ref="G156:I156"/>
    <mergeCell ref="J156:K156"/>
    <mergeCell ref="G153:I153"/>
    <mergeCell ref="J155:K155"/>
    <mergeCell ref="E153:F153"/>
    <mergeCell ref="B151:O151"/>
    <mergeCell ref="E189:O189"/>
    <mergeCell ref="E158:F158"/>
    <mergeCell ref="B158:D158"/>
    <mergeCell ref="B184:O184"/>
    <mergeCell ref="C182:N182"/>
    <mergeCell ref="B181:O181"/>
    <mergeCell ref="B242:F242"/>
    <mergeCell ref="B240:O240"/>
    <mergeCell ref="B197:D197"/>
    <mergeCell ref="E195:F195"/>
    <mergeCell ref="E229:F229"/>
    <mergeCell ref="L228:O228"/>
    <mergeCell ref="E228:F228"/>
    <mergeCell ref="F219:G219"/>
    <mergeCell ref="G230:I230"/>
    <mergeCell ref="J230:K230"/>
    <mergeCell ref="C239:N239"/>
    <mergeCell ref="J176:K176"/>
    <mergeCell ref="B226:N226"/>
    <mergeCell ref="C176:D176"/>
    <mergeCell ref="B195:D195"/>
    <mergeCell ref="B186:M186"/>
    <mergeCell ref="G158:I158"/>
    <mergeCell ref="C172:F172"/>
    <mergeCell ref="C174:D174"/>
    <mergeCell ref="C169:K169"/>
    <mergeCell ref="B323:D327"/>
    <mergeCell ref="F290:L290"/>
    <mergeCell ref="J366:K366"/>
    <mergeCell ref="J365:K365"/>
    <mergeCell ref="J363:K363"/>
    <mergeCell ref="G354:I354"/>
    <mergeCell ref="J354:K354"/>
    <mergeCell ref="J367:K367"/>
    <mergeCell ref="G376:K376"/>
    <mergeCell ref="J379:K379"/>
    <mergeCell ref="G378:O378"/>
    <mergeCell ref="G377:I377"/>
    <mergeCell ref="F296:L296"/>
    <mergeCell ref="N420:O420"/>
    <mergeCell ref="N421:O421"/>
    <mergeCell ref="P430:P436"/>
    <mergeCell ref="F297:L297"/>
    <mergeCell ref="G359:I359"/>
    <mergeCell ref="E360:F360"/>
    <mergeCell ref="G361:I361"/>
    <mergeCell ref="B363:D363"/>
    <mergeCell ref="B364:D364"/>
    <mergeCell ref="G355:I355"/>
    <mergeCell ref="E358:F358"/>
    <mergeCell ref="E349:F349"/>
    <mergeCell ref="E361:F361"/>
    <mergeCell ref="E356:F356"/>
    <mergeCell ref="F332:L332"/>
    <mergeCell ref="B339:P339"/>
    <mergeCell ref="E352:F352"/>
    <mergeCell ref="E353:F353"/>
    <mergeCell ref="B355:D355"/>
    <mergeCell ref="F289:L289"/>
    <mergeCell ref="F287:L287"/>
    <mergeCell ref="J452:K452"/>
    <mergeCell ref="J456:K456"/>
    <mergeCell ref="E458:F458"/>
    <mergeCell ref="J465:K465"/>
    <mergeCell ref="G459:I459"/>
    <mergeCell ref="G461:I461"/>
    <mergeCell ref="G463:I463"/>
    <mergeCell ref="J463:K463"/>
    <mergeCell ref="G464:I464"/>
    <mergeCell ref="G468:I468"/>
    <mergeCell ref="G471:I471"/>
    <mergeCell ref="J461:K461"/>
    <mergeCell ref="E457:F457"/>
    <mergeCell ref="J460:K460"/>
    <mergeCell ref="J467:K467"/>
    <mergeCell ref="G456:I456"/>
    <mergeCell ref="J458:K458"/>
    <mergeCell ref="E459:F459"/>
    <mergeCell ref="G462:I462"/>
    <mergeCell ref="E464:F464"/>
    <mergeCell ref="G467:I467"/>
    <mergeCell ref="G453:I453"/>
    <mergeCell ref="D417:O417"/>
    <mergeCell ref="B423:O423"/>
    <mergeCell ref="G451:I451"/>
    <mergeCell ref="B441:O441"/>
    <mergeCell ref="J451:K451"/>
    <mergeCell ref="B455:D455"/>
    <mergeCell ref="E463:F463"/>
    <mergeCell ref="G452:I452"/>
    <mergeCell ref="B473:P473"/>
    <mergeCell ref="B474:P474"/>
    <mergeCell ref="B477:P477"/>
    <mergeCell ref="B471:D471"/>
    <mergeCell ref="E468:F468"/>
    <mergeCell ref="E469:F469"/>
    <mergeCell ref="N478:P478"/>
    <mergeCell ref="B476:P476"/>
    <mergeCell ref="G455:I455"/>
    <mergeCell ref="G469:I469"/>
    <mergeCell ref="J469:K469"/>
    <mergeCell ref="N485:P485"/>
    <mergeCell ref="C483:D483"/>
    <mergeCell ref="F483:G483"/>
    <mergeCell ref="H483:I483"/>
    <mergeCell ref="J483:M483"/>
    <mergeCell ref="N481:P481"/>
    <mergeCell ref="C482:D482"/>
    <mergeCell ref="F482:G482"/>
    <mergeCell ref="H482:I482"/>
    <mergeCell ref="J482:M482"/>
    <mergeCell ref="N482:P482"/>
    <mergeCell ref="C481:D481"/>
    <mergeCell ref="F481:G481"/>
    <mergeCell ref="H481:I481"/>
    <mergeCell ref="J481:M481"/>
    <mergeCell ref="J484:M484"/>
    <mergeCell ref="N479:P479"/>
    <mergeCell ref="E465:F465"/>
    <mergeCell ref="J466:K466"/>
    <mergeCell ref="J464:K464"/>
    <mergeCell ref="B465:D465"/>
    <mergeCell ref="B500:P500"/>
    <mergeCell ref="C499:D499"/>
    <mergeCell ref="H499:J499"/>
    <mergeCell ref="L499:M499"/>
    <mergeCell ref="O499:P499"/>
    <mergeCell ref="L496:M496"/>
    <mergeCell ref="O496:P496"/>
    <mergeCell ref="O494:P494"/>
    <mergeCell ref="C496:D496"/>
    <mergeCell ref="H497:J497"/>
    <mergeCell ref="C492:D492"/>
    <mergeCell ref="H496:J496"/>
    <mergeCell ref="C498:D498"/>
    <mergeCell ref="H498:J498"/>
    <mergeCell ref="C495:D495"/>
    <mergeCell ref="C493:D493"/>
    <mergeCell ref="H493:J493"/>
    <mergeCell ref="L498:M498"/>
    <mergeCell ref="O498:P498"/>
    <mergeCell ref="O492:P492"/>
    <mergeCell ref="F492:G492"/>
    <mergeCell ref="H492:J492"/>
    <mergeCell ref="L492:M492"/>
    <mergeCell ref="L497:M497"/>
    <mergeCell ref="O497:P497"/>
    <mergeCell ref="O495:P495"/>
    <mergeCell ref="H495:J495"/>
    <mergeCell ref="L495:M495"/>
    <mergeCell ref="C497:D497"/>
    <mergeCell ref="L493:M493"/>
    <mergeCell ref="C494:D494"/>
    <mergeCell ref="H494:J494"/>
    <mergeCell ref="L494:M494"/>
    <mergeCell ref="O493:P493"/>
    <mergeCell ref="C485:D485"/>
    <mergeCell ref="F485:G485"/>
    <mergeCell ref="H485:I485"/>
    <mergeCell ref="B488:P488"/>
    <mergeCell ref="C489:E489"/>
    <mergeCell ref="F489:P489"/>
    <mergeCell ref="B487:P487"/>
    <mergeCell ref="B490:P490"/>
    <mergeCell ref="B491:P491"/>
    <mergeCell ref="J485:M485"/>
    <mergeCell ref="B486:P486"/>
    <mergeCell ref="N483:P483"/>
    <mergeCell ref="L153:O154"/>
    <mergeCell ref="B153:D153"/>
    <mergeCell ref="E156:F156"/>
    <mergeCell ref="B163:P163"/>
    <mergeCell ref="B154:D154"/>
    <mergeCell ref="J159:K159"/>
    <mergeCell ref="J459:K459"/>
    <mergeCell ref="P397:P400"/>
    <mergeCell ref="B437:O437"/>
    <mergeCell ref="C446:E446"/>
    <mergeCell ref="F446:K446"/>
    <mergeCell ref="B456:D456"/>
    <mergeCell ref="H478:I478"/>
    <mergeCell ref="J478:M478"/>
    <mergeCell ref="B475:P475"/>
    <mergeCell ref="F484:G484"/>
    <mergeCell ref="H484:I484"/>
    <mergeCell ref="N484:P484"/>
    <mergeCell ref="P112:P121"/>
    <mergeCell ref="E114:F114"/>
    <mergeCell ref="B115:D115"/>
    <mergeCell ref="B112:F112"/>
    <mergeCell ref="G112:K112"/>
    <mergeCell ref="B84:P84"/>
    <mergeCell ref="G118:I118"/>
    <mergeCell ref="J118:K118"/>
    <mergeCell ref="E136:F136"/>
    <mergeCell ref="C148:D148"/>
    <mergeCell ref="L136:O136"/>
    <mergeCell ref="B145:O145"/>
    <mergeCell ref="B140:O140"/>
    <mergeCell ref="B144:O144"/>
    <mergeCell ref="J113:K11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L96:O96"/>
    <mergeCell ref="J134:K134"/>
    <mergeCell ref="E133:F133"/>
    <mergeCell ref="J136:K136"/>
    <mergeCell ref="G198:I198"/>
    <mergeCell ref="J198:K198"/>
    <mergeCell ref="N254:O254"/>
    <mergeCell ref="P257:P263"/>
    <mergeCell ref="P236:P237"/>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34:K234"/>
    <mergeCell ref="B207:O207"/>
    <mergeCell ref="F216:G216"/>
    <mergeCell ref="G136:I136"/>
    <mergeCell ref="C149:D149"/>
    <mergeCell ref="C150:D150"/>
    <mergeCell ref="E149:O149"/>
    <mergeCell ref="B248:F248"/>
    <mergeCell ref="B504:D506"/>
    <mergeCell ref="C507:D507"/>
    <mergeCell ref="AJ411:AN411"/>
    <mergeCell ref="C412:O412"/>
    <mergeCell ref="B452:D452"/>
    <mergeCell ref="G457:I457"/>
    <mergeCell ref="J457:K457"/>
    <mergeCell ref="E435:F435"/>
    <mergeCell ref="B442:O442"/>
    <mergeCell ref="B448:F448"/>
    <mergeCell ref="B454:D454"/>
    <mergeCell ref="B450:D450"/>
    <mergeCell ref="G449:I449"/>
    <mergeCell ref="E451:F451"/>
    <mergeCell ref="E452:F452"/>
    <mergeCell ref="E454:F454"/>
    <mergeCell ref="J454:K454"/>
    <mergeCell ref="J453:K453"/>
    <mergeCell ref="G454:I454"/>
    <mergeCell ref="R420:R421"/>
    <mergeCell ref="B443:M443"/>
    <mergeCell ref="B420:M420"/>
    <mergeCell ref="G434:O434"/>
    <mergeCell ref="C427:O427"/>
    <mergeCell ref="E432:F432"/>
    <mergeCell ref="B429:O429"/>
    <mergeCell ref="C426:O426"/>
    <mergeCell ref="D418:O418"/>
    <mergeCell ref="P424:P426"/>
    <mergeCell ref="E436:F436"/>
    <mergeCell ref="G430:O430"/>
    <mergeCell ref="G431:O431"/>
    <mergeCell ref="W458:W460"/>
    <mergeCell ref="L448:O448"/>
    <mergeCell ref="L453:O458"/>
    <mergeCell ref="L459:O462"/>
    <mergeCell ref="E433:F433"/>
    <mergeCell ref="R410:R411"/>
    <mergeCell ref="B451:D451"/>
    <mergeCell ref="G448:K448"/>
    <mergeCell ref="J449:K449"/>
    <mergeCell ref="C413:O416"/>
    <mergeCell ref="B447:O447"/>
    <mergeCell ref="B413:B418"/>
    <mergeCell ref="B428:O428"/>
    <mergeCell ref="N439:O439"/>
    <mergeCell ref="G435:O435"/>
    <mergeCell ref="G432:O432"/>
    <mergeCell ref="B438:O438"/>
    <mergeCell ref="P448:P472"/>
    <mergeCell ref="B453:D453"/>
    <mergeCell ref="B461:D461"/>
    <mergeCell ref="B462:D462"/>
    <mergeCell ref="E431:F431"/>
    <mergeCell ref="C424:O424"/>
    <mergeCell ref="B421:M421"/>
    <mergeCell ref="B422:O422"/>
    <mergeCell ref="B419:O419"/>
    <mergeCell ref="C425:O425"/>
    <mergeCell ref="G433:O433"/>
    <mergeCell ref="E430:F430"/>
    <mergeCell ref="B430:D436"/>
    <mergeCell ref="B410:O410"/>
    <mergeCell ref="C411:O411"/>
    <mergeCell ref="Y446:Z446"/>
    <mergeCell ref="G365:I365"/>
    <mergeCell ref="L341:O341"/>
    <mergeCell ref="L342:O346"/>
    <mergeCell ref="L347:O352"/>
    <mergeCell ref="J364:K364"/>
    <mergeCell ref="G363:I363"/>
    <mergeCell ref="E366:F366"/>
    <mergeCell ref="L376:O376"/>
    <mergeCell ref="B365:D365"/>
    <mergeCell ref="C399:N399"/>
    <mergeCell ref="B411:B412"/>
    <mergeCell ref="C407:O407"/>
    <mergeCell ref="G450:I450"/>
    <mergeCell ref="J450:K450"/>
    <mergeCell ref="E450:F450"/>
    <mergeCell ref="G367:I367"/>
    <mergeCell ref="G366:I366"/>
    <mergeCell ref="P375:P380"/>
    <mergeCell ref="J359:K359"/>
    <mergeCell ref="J356:K356"/>
    <mergeCell ref="B374:O374"/>
    <mergeCell ref="L377:O377"/>
    <mergeCell ref="B372:O372"/>
    <mergeCell ref="G380:O380"/>
    <mergeCell ref="G362:I362"/>
    <mergeCell ref="E449:F449"/>
    <mergeCell ref="B449:D449"/>
    <mergeCell ref="P441:P442"/>
    <mergeCell ref="B445:O445"/>
    <mergeCell ref="J387:K387"/>
    <mergeCell ref="B406:O406"/>
    <mergeCell ref="E453:F453"/>
    <mergeCell ref="B405:O405"/>
    <mergeCell ref="C398:N398"/>
    <mergeCell ref="F322:L322"/>
    <mergeCell ref="F298:L298"/>
    <mergeCell ref="B292:L292"/>
    <mergeCell ref="B303:O303"/>
    <mergeCell ref="B306:M306"/>
    <mergeCell ref="B320:O320"/>
    <mergeCell ref="F321:L321"/>
    <mergeCell ref="F315:L315"/>
    <mergeCell ref="J360:K360"/>
    <mergeCell ref="B381:G381"/>
    <mergeCell ref="E382:F382"/>
    <mergeCell ref="B408:P408"/>
    <mergeCell ref="B409:P409"/>
    <mergeCell ref="E383:F383"/>
    <mergeCell ref="H381:O381"/>
    <mergeCell ref="B390:O390"/>
    <mergeCell ref="E387:F387"/>
    <mergeCell ref="G386:I386"/>
    <mergeCell ref="E385:F385"/>
    <mergeCell ref="C400:N400"/>
    <mergeCell ref="N443:O443"/>
    <mergeCell ref="B444:O444"/>
    <mergeCell ref="N446:O446"/>
    <mergeCell ref="C397:N397"/>
    <mergeCell ref="J401:O401"/>
    <mergeCell ref="C404:O404"/>
    <mergeCell ref="B403:O403"/>
    <mergeCell ref="B402:O402"/>
    <mergeCell ref="B401:I401"/>
  </mergeCells>
  <phoneticPr fontId="0" type="noConversion"/>
  <conditionalFormatting sqref="G450:I451">
    <cfRule type="cellIs" dxfId="16" priority="3" operator="lessThan">
      <formula>$Y$449</formula>
    </cfRule>
  </conditionalFormatting>
  <conditionalFormatting sqref="G453:I453">
    <cfRule type="cellIs" dxfId="15" priority="2" operator="lessThan">
      <formula>$Y$449</formula>
    </cfRule>
  </conditionalFormatting>
  <conditionalFormatting sqref="G464:I470">
    <cfRule type="cellIs" dxfId="14" priority="1" operator="lessThan">
      <formula>$Y$449</formula>
    </cfRule>
  </conditionalFormatting>
  <conditionalFormatting sqref="J450:K450">
    <cfRule type="cellIs" dxfId="13" priority="5" stopIfTrue="1" operator="lessThan">
      <formula>$Y$449</formula>
    </cfRule>
  </conditionalFormatting>
  <dataValidations xWindow="555" yWindow="450" count="109">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8:N238" xr:uid="{15508740-DF85-430C-9707-AAED750BB98C}">
      <formula1>$S$238:$U$238</formula1>
    </dataValidation>
    <dataValidation type="list" allowBlank="1" showInputMessage="1" showErrorMessage="1" promptTitle="Hypersensitivity" prompt="Select partial or total. Partial is part of the foot. Total means the entire foot." sqref="C239:N239" xr:uid="{288A6D27-9758-49B3-8A86-AF8334B4B292}">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AC2BB479-4F9B-4B5F-8654-72AD9A9B3F44}">
      <formula1>$S$242:$V$242</formula1>
    </dataValidation>
    <dataValidation type="list" allowBlank="1" showInputMessage="1" showErrorMessage="1" promptTitle="Knee joint instability" prompt="Select severity of the joint opening." sqref="C397:N400" xr:uid="{8393984C-B5F0-4970-B853-892D105451BE}">
      <formula1>$S$395:$V$395</formula1>
    </dataValidation>
    <dataValidation type="list" allowBlank="1" showInputMessage="1" showErrorMessage="1" promptTitle="Tibial shaft fracture" prompt="Select severity of malalignment (rotational deformity) resulting from the tibial shaft fracture." sqref="C407:O407" xr:uid="{9446211A-2729-4BD9-9272-C0FBC204D169}">
      <formula1>$S$406:$AM$406</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7" xr:uid="{5C0D28DD-53F0-4248-BC3B-F01B75C0F409}">
      <formula1>W247</formula1>
    </dataValidation>
    <dataValidation type="decimal" operator="equal" allowBlank="1" showInputMessage="1" showErrorMessage="1" promptTitle="Rocker bottom deformity" prompt="Check (click) the box if the worker has rocker bottom deformity of the foot." sqref="A248" xr:uid="{E7BF5782-A110-41EE-975A-53A7AF5DA173}">
      <formula1>W248</formula1>
    </dataValidation>
    <dataValidation type="decimal" operator="equal" allowBlank="1" showInputMessage="1" showErrorMessage="1" promptTitle="Additional foot loss" prompt="Check (click) the boxes that describe the worker's condition, if any." sqref="A257" xr:uid="{9C1AFC83-B070-48DE-9F8D-B0944ECAFE5F}">
      <formula1>W257</formula1>
    </dataValidation>
    <dataValidation type="decimal" operator="equal" allowBlank="1" showInputMessage="1" showErrorMessage="1" promptTitle="Chronic condition" prompt="Select &quot;Yes&quot; if the worker has a chronic condition as described in OAR 436-035-0019." sqref="A443 A267" xr:uid="{2B4ED7AE-925A-4FA3-B0DF-E1AB07D74D59}">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5F863BCA-4AF1-4E3A-AD10-140D5A41E7D7}">
      <formula1>AK283</formula1>
    </dataValidation>
    <dataValidation type="decimal" operator="equal" allowBlank="1" showInputMessage="1" showErrorMessage="1" promptTitle="Amputation - Leg" prompt="Select the level of loss, if any." sqref="A373" xr:uid="{B07F41EB-FF26-45C7-844A-2ACF4097AEC4}">
      <formula1>W373</formula1>
    </dataValidation>
    <dataValidation type="decimal" operator="equal" allowBlank="1" showInputMessage="1" showErrorMessage="1" promptTitle="Knee angulation or malalignment" prompt="Select varus or valgus deformity, if applicable." sqref="A404" xr:uid="{A89A7B40-FBE1-40D2-AA85-07BEC4B3FDF4}">
      <formula1>W404</formula1>
    </dataValidation>
    <dataValidation type="decimal" operator="equal" allowBlank="1" showInputMessage="1" showErrorMessage="1" promptTitle="Motor loss" prompt="Show severity of motor loss, if any, due to brain or spinal cord damage." sqref="A424" xr:uid="{DF1CCA4C-D265-441C-8A94-2D2F81B7AB52}">
      <formula1>W424</formula1>
    </dataValidation>
    <dataValidation type="decimal" operator="equal" allowBlank="1" showInputMessage="1" showErrorMessage="1" promptTitle="Additional leg impairment" prompt="Select the conditions, if any, affecting the leg." sqref="A431" xr:uid="{EFC957AF-6EB9-4B62-87CA-E047A34F13B9}">
      <formula1>W431</formula1>
    </dataValidation>
    <dataValidation type="decimal" operator="equal" allowBlank="1" showInputMessage="1" showErrorMessage="1" promptTitle="Standing or walking limitation" prompt="Select &quot;Yes&quot; if the worker has the limitation described." sqref="A439" xr:uid="{C83254EB-0FC9-443A-8E39-C6CCB9068431}">
      <formula1>W439</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7:A408" xr:uid="{3AE10B18-BD4F-4865-AC8F-F1140125E12D}">
      <formula1>W404</formula1>
    </dataValidation>
    <dataValidation type="decimal" operator="equal" allowBlank="1" showInputMessage="1" showErrorMessage="1" promptTitle="Leg surgery" prompt="Select the type and extent of surgery, if any." sqref="A411:A412" xr:uid="{C76BCE2D-F04D-4DCC-A86D-7466858991AF}">
      <formula1>W413</formula1>
    </dataValidation>
    <dataValidation type="decimal" operator="equal" allowBlank="1" showInputMessage="1" showErrorMessage="1" promptTitle="Ankle joint instability" prompt="Show extent of disability." sqref="A241" xr:uid="{D2011AE2-81C9-42BF-BBE8-0C95D821C220}">
      <formula1>W241</formula1>
    </dataValidation>
    <dataValidation type="decimal" operator="equal" allowBlank="1" showInputMessage="1" showErrorMessage="1" promptTitle="Ankle replacement" prompt="Check the box if the worker has had a prosthetic ankle replacement." sqref="A250" xr:uid="{F587780F-CDB4-4E79-B5B7-AA4E7886A1DE}">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9966CFE4-F63C-4AE0-88EF-D2F89F9EB7FA}">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BB4101D0-03A2-44E9-8A80-7B8E84F23CC6}"/>
    <dataValidation allowBlank="1" showInputMessage="1" showErrorMessage="1" promptTitle="End of worksheet" prompt="Press TAB to return to top of sheet." sqref="P501" xr:uid="{1D535835-7019-47DF-9E92-59A25EEF36DE}"/>
    <dataValidation type="decimal" allowBlank="1" showInputMessage="1" showErrorMessage="1" promptTitle="Apportionment (if any)" prompt="Enter percentage of impairment caused by the injury or illness. See OAR 436-035-0013." sqref="H195:I195 G155:G157 G450 H115:I115 G115:G117 H354:I354 H36:I36 H356:I358 G354:G358 G36:G38 H75:I75 G75:G77 G453:I453 G362:I366 G195:G197 G464:I470 H155:I155 G451:I451 C233:D233" xr:uid="{267A7108-719D-482F-824C-9FC2CBA8B7F3}">
      <formula1>$B$507</formula1>
      <formula2>$C$507</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BA45A77F-F84E-4741-AB6A-B49BF3495D32}">
      <formula1>$R$410:$W$410</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$B$513:$B$544</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$B$513:$B$544</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3:I383" xr:uid="{A979AA6C-674D-4A2D-8CAE-AC01093114BD}">
      <formula1>$B$513:$B$544</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$B$513:$B$544</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$B$513:$B$544</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$B$513:$B$564</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$B$513:$B$564</formula1>
    </dataValidation>
    <dataValidation type="list" showInputMessage="1" showErrorMessage="1" promptTitle="Contralateral comparison" prompt="Enter retained degrees of motion or &quot;NA&quot; if contralateral joint has a history of injury or disease." sqref="G16:I16 G387:I387" xr:uid="{ADE5FF73-7A00-458D-B5D3-D1F0CCD4D6C4}">
      <formula1>$B$513:$B$564</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$B$513:$B$544</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$B$513:$B$544</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$B$513:$B$554</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$B$513:$B$554</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4:I384 G386:I386" xr:uid="{2645A720-64BA-4EDC-A24D-66D8AB35F24B}">
      <formula1>$B$513:$B$554</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$B$513:$B$544</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$B$513:$B$544</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$B$513:$B$554</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$B$513:$B$554</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$B$513:$B$544</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$B$513:$B$544</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$B$513:$B$554</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$B$513:$B$554</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$B$513:$B$544</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$B$513:$B$544</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$B$513:$B$554</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$B$513:$B$554</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$B$513:$B$534</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$B$513:$B$534</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$B$513:$B$544</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$B$513:$B$544</formula1>
    </dataValidation>
    <dataValidation type="list" showInputMessage="1" showErrorMessage="1" promptTitle="Contralateral comparison" prompt="Enter retained degrees of motion or &quot;NA&quot; if contralateral joint has a history of injury or disease." sqref="G224:I224 G228:I228 G385:I385" xr:uid="{83C7861B-D867-4262-9264-4F24AD9056F1}">
      <formula1>$B$513:$B$534</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$B$513:$B$554</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$B$513:$B$554</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$B$513:$B$534</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$B$513:$B$534</formula1>
    </dataValidation>
    <dataValidation type="list" showInputMessage="1" showErrorMessage="1" promptTitle="Knee" prompt="Enter degrees of extension ankylosis. If joint was not affected by the injury, select &quot;NA&quot; or leave blank. " sqref="C380:D380" xr:uid="{107C1E99-7489-48E1-A1BE-62EFDA8B65D6}">
      <formula1>$B$513:$B$664</formula1>
    </dataValidation>
    <dataValidation type="list" showInputMessage="1" showErrorMessage="1" promptTitle="Knee extension" prompt="Enter retained degrees of motion, extension. If joint was not affected by the injury, select &quot;NA&quot; or leave blank." sqref="C379:D379" xr:uid="{E7526856-710A-4AE1-8817-1D67CFD4DF8E}">
      <formula1>$B$513:$B$664</formula1>
    </dataValidation>
    <dataValidation type="list" showInputMessage="1" showErrorMessage="1" promptTitle="Knee" prompt="Enter degrees of flexion ankylosis. If joint was not affected by the injury, select &quot;NA&quot; or leave blank." sqref="C378:D378" xr:uid="{0EAE1418-695C-42F9-9E95-765E077AFB2C}">
      <formula1>$B$513:$B$664</formula1>
    </dataValidation>
    <dataValidation type="list" showInputMessage="1" showErrorMessage="1" promptTitle="Knee flexion" prompt="Enter retained degrees of motion, flexion. If joint was not affected by the injury, select &quot;NA&quot; or leave blank." sqref="C377:D377" xr:uid="{FB4111FA-0D9B-4030-80F8-2587EE7EA3D4}">
      <formula1>$B$513:$B$664</formula1>
    </dataValidation>
    <dataValidation type="list" showInputMessage="1" showErrorMessage="1" promptTitle="Contralateral comparison" prompt="Enter retained degrees of motion or &quot;NA&quot; if contralateral joint has a history of injury or disease." sqref="G377:I377 G379:I379" xr:uid="{BCCCEB1F-8F35-4D0E-8A2F-82E674831FBB}">
      <formula1>$B$513:$B$664</formula1>
    </dataValidation>
    <dataValidation type="list" showInputMessage="1" showErrorMessage="1" promptTitle="Hip, external rotation" prompt="Enter retained degrees of motion, external rotation. If joint was not affected by the injury, select &quot;NA&quot; or leave blank." sqref="C387:D387" xr:uid="{2B099E49-3C58-45CA-9076-4DA8A03FF244}">
      <formula1>$B$513:$B$564</formula1>
    </dataValidation>
    <dataValidation type="list" showInputMessage="1" showErrorMessage="1" promptTitle="Hip, internal rotation" prompt="Enter retained degrees of motion, internal rotation. If joint was not affected by the injury, select &quot;NA&quot; or leave blank." sqref="C386:D386" xr:uid="{E9427B08-226F-4F84-A8DB-1434A31D3899}">
      <formula1>$B$513:$B$554</formula1>
    </dataValidation>
    <dataValidation type="list" showInputMessage="1" showErrorMessage="1" promptTitle="Hip adduction" prompt="Enter retained degrees of motion, adduction. If joint was not affected by the injury, select &quot;NA&quot; or leave blank." sqref="C385:D385" xr:uid="{5F008CC6-941B-424C-AD99-F394C16EECFA}">
      <formula1>$B$513:$B$534</formula1>
    </dataValidation>
    <dataValidation type="list" showInputMessage="1" showErrorMessage="1" promptTitle="Hip abduction" prompt="Enter retained degrees of motion, abduction. If joint was not affected by the injury, select &quot;NA&quot; or leave blank." sqref="C384:D384" xr:uid="{46AE67D9-12FA-4002-9E75-7A60260E8664}">
      <formula1>$B$513:$B$554</formula1>
    </dataValidation>
    <dataValidation type="list" showInputMessage="1" showErrorMessage="1" promptTitle="Hip backward extension" prompt="Enter retained degrees of motion, backward extension. If joint was not affected by the injury, select &quot;NA&quot; or leave blank." sqref="C383:D383" xr:uid="{DB22F03B-D1AA-49BE-A328-B0839C59C820}">
      <formula1>$B$513:$B$544</formula1>
    </dataValidation>
    <dataValidation type="list" showInputMessage="1" showErrorMessage="1" promptTitle="Hip forward flexion" prompt="Enter retained degrees of motion, forward flexion. If joint was not affected by the injury, select &quot;NA&quot; or leave blank." sqref="C382:D382" xr:uid="{B8390EBA-5DDC-480A-8310-8EC95888CB32}">
      <formula1>$B$513:$B$614</formula1>
    </dataValidation>
    <dataValidation type="list" showInputMessage="1" showErrorMessage="1" promptTitle="Contralateral comparison" prompt="Enter retained degrees of motion or &quot;NA&quot; if contralateral joint has a history of injury or disease." sqref="G382:I382" xr:uid="{BD113382-A88D-4000-886E-67A1D57AE9AE}">
      <formula1>$B$513:$B$614</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4" xr:uid="{F8C62D08-751D-4A81-BE6B-17FDE5BEA7A6}">
      <formula1>W255</formula1>
    </dataValidation>
    <dataValidation type="list" allowBlank="1" showInputMessage="1" showErrorMessage="1" promptTitle="Dermatological condition" prompt="Affecting foot -- select from classes 1-5. See OAR 436-035-0230." sqref="N253" xr:uid="{B26511F9-3AEE-4D7D-9B52-C5F289BBD56C}">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9C8ADE5A-E334-4DCB-A675-CFCE83754CD9}">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3C01A507-2C02-40A4-BE67-4B3EE69276FC}">
      <formula1>$S$278:$AH$278</formula1>
    </dataValidation>
    <dataValidation type="list" allowBlank="1" showInputMessage="1" showErrorMessage="1" promptTitle="Leg length discrepancy" prompt="Select extent of length change." sqref="C392" xr:uid="{4A3815E1-FB02-4B49-B668-9B94A5126379}">
      <formula1>$S$392:$W$392</formula1>
    </dataValidation>
    <dataValidation type="list" allowBlank="1" showInputMessage="1" showErrorMessage="1" promptTitle="Dermatological condition" prompt="Affecting leg -- select from classes 1-5. See OAR 436-035-0230." sqref="N420:O420" xr:uid="{0FA4DCA5-F6B7-4D35-AF65-2169AADA89AD}">
      <formula1>$S$420:$W$420</formula1>
    </dataValidation>
    <dataValidation type="list" allowBlank="1" showInputMessage="1" showErrorMessage="1" promptTitle="Vascular dysfunction" prompt="Affecting leg -- select from classes 1-5. See OAR 436-035-0230." sqref="N421:O421" xr:uid="{576D304E-9050-41F7-8C77-8F3FF08056F1}">
      <formula1>$Y$420:$AC$420</formula1>
    </dataValidation>
    <dataValidation type="decimal" allowBlank="1" showInputMessage="1" showErrorMessage="1" promptTitle="Apportionment, if any" prompt="Enter percentage of impairment caused by the injury or illness. See OAR 436-035-0013." sqref="C21:D21 C59:D59 C99:D99 C139:D139 C179:D179" xr:uid="{3C7EE7CE-A824-4C73-80B7-C06E478F2D2E}">
      <formula1>$B$507</formula1>
      <formula2>$C$507</formula2>
    </dataValidation>
  </dataValidations>
  <hyperlinks>
    <hyperlink ref="N279:P279"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1" location="'Lower Extremity-Left'!A260" display="Leg strength" xr:uid="{00000000-0004-0000-0700-000009000000}"/>
    <hyperlink ref="B501" location="'Lower Extremity-Left'!A1" display="Return to top of sheet" xr:uid="{00000000-0004-0000-0700-00000A000000}"/>
    <hyperlink ref="H501:M501" location="'PPD DOI on or after 2005'!A1" display="'PPD DOI on or after 2005'!A1" xr:uid="{00000000-0004-0000-0700-00000B000000}"/>
    <hyperlink ref="C501:G501"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9" max="16383" man="1"/>
    <brk id="275" max="16383" man="1"/>
    <brk id="304" max="16383" man="1"/>
    <brk id="339" max="16383" man="1"/>
    <brk id="369" max="16383" man="1"/>
    <brk id="408" max="16383" man="1"/>
    <brk id="443"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280</xdr:row>
                    <xdr:rowOff>12700</xdr:rowOff>
                  </from>
                  <to>
                    <xdr:col>5</xdr:col>
                    <xdr:colOff>88900</xdr:colOff>
                    <xdr:row>281</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281</xdr:row>
                    <xdr:rowOff>0</xdr:rowOff>
                  </from>
                  <to>
                    <xdr:col>5</xdr:col>
                    <xdr:colOff>88900</xdr:colOff>
                    <xdr:row>282</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281</xdr:row>
                    <xdr:rowOff>184150</xdr:rowOff>
                  </from>
                  <to>
                    <xdr:col>5</xdr:col>
                    <xdr:colOff>88900</xdr:colOff>
                    <xdr:row>283</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283</xdr:row>
                    <xdr:rowOff>184150</xdr:rowOff>
                  </from>
                  <to>
                    <xdr:col>5</xdr:col>
                    <xdr:colOff>88900</xdr:colOff>
                    <xdr:row>285</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286</xdr:row>
                    <xdr:rowOff>12700</xdr:rowOff>
                  </from>
                  <to>
                    <xdr:col>5</xdr:col>
                    <xdr:colOff>88900</xdr:colOff>
                    <xdr:row>286</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287</xdr:row>
                    <xdr:rowOff>0</xdr:rowOff>
                  </from>
                  <to>
                    <xdr:col>5</xdr:col>
                    <xdr:colOff>88900</xdr:colOff>
                    <xdr:row>288</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287</xdr:row>
                    <xdr:rowOff>184150</xdr:rowOff>
                  </from>
                  <to>
                    <xdr:col>5</xdr:col>
                    <xdr:colOff>88900</xdr:colOff>
                    <xdr:row>289</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289</xdr:row>
                    <xdr:rowOff>184150</xdr:rowOff>
                  </from>
                  <to>
                    <xdr:col>5</xdr:col>
                    <xdr:colOff>88900</xdr:colOff>
                    <xdr:row>291</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292</xdr:row>
                    <xdr:rowOff>19050</xdr:rowOff>
                  </from>
                  <to>
                    <xdr:col>5</xdr:col>
                    <xdr:colOff>88900</xdr:colOff>
                    <xdr:row>293</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293</xdr:row>
                    <xdr:rowOff>0</xdr:rowOff>
                  </from>
                  <to>
                    <xdr:col>5</xdr:col>
                    <xdr:colOff>88900</xdr:colOff>
                    <xdr:row>294</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293</xdr:row>
                    <xdr:rowOff>184150</xdr:rowOff>
                  </from>
                  <to>
                    <xdr:col>5</xdr:col>
                    <xdr:colOff>88900</xdr:colOff>
                    <xdr:row>295</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299</xdr:row>
                    <xdr:rowOff>317500</xdr:rowOff>
                  </from>
                  <to>
                    <xdr:col>5</xdr:col>
                    <xdr:colOff>88900</xdr:colOff>
                    <xdr:row>301</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300</xdr:row>
                    <xdr:rowOff>184150</xdr:rowOff>
                  </from>
                  <to>
                    <xdr:col>5</xdr:col>
                    <xdr:colOff>88900</xdr:colOff>
                    <xdr:row>302</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309</xdr:row>
                    <xdr:rowOff>0</xdr:rowOff>
                  </from>
                  <to>
                    <xdr:col>5</xdr:col>
                    <xdr:colOff>88900</xdr:colOff>
                    <xdr:row>310</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309</xdr:row>
                    <xdr:rowOff>184150</xdr:rowOff>
                  </from>
                  <to>
                    <xdr:col>5</xdr:col>
                    <xdr:colOff>88900</xdr:colOff>
                    <xdr:row>311</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314</xdr:row>
                    <xdr:rowOff>0</xdr:rowOff>
                  </from>
                  <to>
                    <xdr:col>5</xdr:col>
                    <xdr:colOff>88900</xdr:colOff>
                    <xdr:row>315</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315</xdr:row>
                    <xdr:rowOff>184150</xdr:rowOff>
                  </from>
                  <to>
                    <xdr:col>5</xdr:col>
                    <xdr:colOff>88900</xdr:colOff>
                    <xdr:row>317</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317</xdr:row>
                    <xdr:rowOff>184150</xdr:rowOff>
                  </from>
                  <to>
                    <xdr:col>5</xdr:col>
                    <xdr:colOff>88900</xdr:colOff>
                    <xdr:row>319</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319</xdr:row>
                    <xdr:rowOff>222250</xdr:rowOff>
                  </from>
                  <to>
                    <xdr:col>5</xdr:col>
                    <xdr:colOff>88900</xdr:colOff>
                    <xdr:row>321</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322</xdr:row>
                    <xdr:rowOff>184150</xdr:rowOff>
                  </from>
                  <to>
                    <xdr:col>5</xdr:col>
                    <xdr:colOff>88900</xdr:colOff>
                    <xdr:row>324</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323</xdr:row>
                    <xdr:rowOff>171450</xdr:rowOff>
                  </from>
                  <to>
                    <xdr:col>5</xdr:col>
                    <xdr:colOff>88900</xdr:colOff>
                    <xdr:row>325</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326</xdr:row>
                    <xdr:rowOff>0</xdr:rowOff>
                  </from>
                  <to>
                    <xdr:col>5</xdr:col>
                    <xdr:colOff>88900</xdr:colOff>
                    <xdr:row>327</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328</xdr:row>
                    <xdr:rowOff>336550</xdr:rowOff>
                  </from>
                  <to>
                    <xdr:col>5</xdr:col>
                    <xdr:colOff>88900</xdr:colOff>
                    <xdr:row>329</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330</xdr:row>
                    <xdr:rowOff>0</xdr:rowOff>
                  </from>
                  <to>
                    <xdr:col>5</xdr:col>
                    <xdr:colOff>88900</xdr:colOff>
                    <xdr:row>331</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332</xdr:row>
                    <xdr:rowOff>0</xdr:rowOff>
                  </from>
                  <to>
                    <xdr:col>5</xdr:col>
                    <xdr:colOff>88900</xdr:colOff>
                    <xdr:row>333</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332</xdr:row>
                    <xdr:rowOff>171450</xdr:rowOff>
                  </from>
                  <to>
                    <xdr:col>5</xdr:col>
                    <xdr:colOff>88900</xdr:colOff>
                    <xdr:row>334</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335</xdr:row>
                    <xdr:rowOff>0</xdr:rowOff>
                  </from>
                  <to>
                    <xdr:col>5</xdr:col>
                    <xdr:colOff>88900</xdr:colOff>
                    <xdr:row>336</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296</xdr:row>
                    <xdr:rowOff>184150</xdr:rowOff>
                  </from>
                  <to>
                    <xdr:col>5</xdr:col>
                    <xdr:colOff>88900</xdr:colOff>
                    <xdr:row>298</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306</xdr:row>
                    <xdr:rowOff>184150</xdr:rowOff>
                  </from>
                  <to>
                    <xdr:col>5</xdr:col>
                    <xdr:colOff>88900</xdr:colOff>
                    <xdr:row>307</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299</xdr:row>
                    <xdr:rowOff>0</xdr:rowOff>
                  </from>
                  <to>
                    <xdr:col>5</xdr:col>
                    <xdr:colOff>88900</xdr:colOff>
                    <xdr:row>300</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328</xdr:row>
                    <xdr:rowOff>12700</xdr:rowOff>
                  </from>
                  <to>
                    <xdr:col>5</xdr:col>
                    <xdr:colOff>88900</xdr:colOff>
                    <xdr:row>328</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249</xdr:row>
                    <xdr:rowOff>12700</xdr:rowOff>
                  </from>
                  <to>
                    <xdr:col>6</xdr:col>
                    <xdr:colOff>190500</xdr:colOff>
                    <xdr:row>250</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259</xdr:row>
                    <xdr:rowOff>38100</xdr:rowOff>
                  </from>
                  <to>
                    <xdr:col>5</xdr:col>
                    <xdr:colOff>222250</xdr:colOff>
                    <xdr:row>260</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261</xdr:row>
                    <xdr:rowOff>50800</xdr:rowOff>
                  </from>
                  <to>
                    <xdr:col>5</xdr:col>
                    <xdr:colOff>222250</xdr:colOff>
                    <xdr:row>262</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262</xdr:row>
                    <xdr:rowOff>31750</xdr:rowOff>
                  </from>
                  <to>
                    <xdr:col>5</xdr:col>
                    <xdr:colOff>222250</xdr:colOff>
                    <xdr:row>263</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417</xdr:row>
                    <xdr:rowOff>38100</xdr:rowOff>
                  </from>
                  <to>
                    <xdr:col>3</xdr:col>
                    <xdr:colOff>88900</xdr:colOff>
                    <xdr:row>418</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430</xdr:row>
                    <xdr:rowOff>38100</xdr:rowOff>
                  </from>
                  <to>
                    <xdr:col>5</xdr:col>
                    <xdr:colOff>222250</xdr:colOff>
                    <xdr:row>431</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432</xdr:row>
                    <xdr:rowOff>31750</xdr:rowOff>
                  </from>
                  <to>
                    <xdr:col>5</xdr:col>
                    <xdr:colOff>222250</xdr:colOff>
                    <xdr:row>433</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434</xdr:row>
                    <xdr:rowOff>38100</xdr:rowOff>
                  </from>
                  <to>
                    <xdr:col>5</xdr:col>
                    <xdr:colOff>222250</xdr:colOff>
                    <xdr:row>435</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435</xdr:row>
                    <xdr:rowOff>31750</xdr:rowOff>
                  </from>
                  <to>
                    <xdr:col>5</xdr:col>
                    <xdr:colOff>222250</xdr:colOff>
                    <xdr:row>436</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243</xdr:row>
                    <xdr:rowOff>50800</xdr:rowOff>
                  </from>
                  <to>
                    <xdr:col>1</xdr:col>
                    <xdr:colOff>393700</xdr:colOff>
                    <xdr:row>244</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292</xdr:row>
                    <xdr:rowOff>342900</xdr:rowOff>
                  </from>
                  <to>
                    <xdr:col>3</xdr:col>
                    <xdr:colOff>279400</xdr:colOff>
                    <xdr:row>301</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293</xdr:row>
                    <xdr:rowOff>88900</xdr:rowOff>
                  </from>
                  <to>
                    <xdr:col>3</xdr:col>
                    <xdr:colOff>247650</xdr:colOff>
                    <xdr:row>294</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294</xdr:row>
                    <xdr:rowOff>152400</xdr:rowOff>
                  </from>
                  <to>
                    <xdr:col>3</xdr:col>
                    <xdr:colOff>247650</xdr:colOff>
                    <xdr:row>296</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296</xdr:row>
                    <xdr:rowOff>38100</xdr:rowOff>
                  </from>
                  <to>
                    <xdr:col>3</xdr:col>
                    <xdr:colOff>247650</xdr:colOff>
                    <xdr:row>297</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297</xdr:row>
                    <xdr:rowOff>107950</xdr:rowOff>
                  </from>
                  <to>
                    <xdr:col>3</xdr:col>
                    <xdr:colOff>247650</xdr:colOff>
                    <xdr:row>298</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298</xdr:row>
                    <xdr:rowOff>165100</xdr:rowOff>
                  </from>
                  <to>
                    <xdr:col>3</xdr:col>
                    <xdr:colOff>247650</xdr:colOff>
                    <xdr:row>299</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299</xdr:row>
                    <xdr:rowOff>228600</xdr:rowOff>
                  </from>
                  <to>
                    <xdr:col>3</xdr:col>
                    <xdr:colOff>247650</xdr:colOff>
                    <xdr:row>300</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300</xdr:row>
                    <xdr:rowOff>171450</xdr:rowOff>
                  </from>
                  <to>
                    <xdr:col>3</xdr:col>
                    <xdr:colOff>260350</xdr:colOff>
                    <xdr:row>302</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287</xdr:row>
                    <xdr:rowOff>0</xdr:rowOff>
                  </from>
                  <to>
                    <xdr:col>3</xdr:col>
                    <xdr:colOff>279400</xdr:colOff>
                    <xdr:row>291</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287</xdr:row>
                    <xdr:rowOff>19050</xdr:rowOff>
                  </from>
                  <to>
                    <xdr:col>3</xdr:col>
                    <xdr:colOff>254000</xdr:colOff>
                    <xdr:row>288</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12700</xdr:colOff>
                    <xdr:row>288</xdr:row>
                    <xdr:rowOff>69850</xdr:rowOff>
                  </from>
                  <to>
                    <xdr:col>3</xdr:col>
                    <xdr:colOff>247650</xdr:colOff>
                    <xdr:row>289</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12700</xdr:colOff>
                    <xdr:row>289</xdr:row>
                    <xdr:rowOff>107950</xdr:rowOff>
                  </from>
                  <to>
                    <xdr:col>3</xdr:col>
                    <xdr:colOff>247650</xdr:colOff>
                    <xdr:row>290</xdr:row>
                    <xdr:rowOff>158750</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308</xdr:row>
                    <xdr:rowOff>0</xdr:rowOff>
                  </from>
                  <to>
                    <xdr:col>3</xdr:col>
                    <xdr:colOff>279400</xdr:colOff>
                    <xdr:row>318</xdr:row>
                    <xdr:rowOff>184150</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308</xdr:row>
                    <xdr:rowOff>12700</xdr:rowOff>
                  </from>
                  <to>
                    <xdr:col>3</xdr:col>
                    <xdr:colOff>254000</xdr:colOff>
                    <xdr:row>309</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309</xdr:row>
                    <xdr:rowOff>101600</xdr:rowOff>
                  </from>
                  <to>
                    <xdr:col>3</xdr:col>
                    <xdr:colOff>254000</xdr:colOff>
                    <xdr:row>311</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311</xdr:row>
                    <xdr:rowOff>19050</xdr:rowOff>
                  </from>
                  <to>
                    <xdr:col>3</xdr:col>
                    <xdr:colOff>254000</xdr:colOff>
                    <xdr:row>312</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312</xdr:row>
                    <xdr:rowOff>120650</xdr:rowOff>
                  </from>
                  <to>
                    <xdr:col>3</xdr:col>
                    <xdr:colOff>254000</xdr:colOff>
                    <xdr:row>314</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314</xdr:row>
                    <xdr:rowOff>25400</xdr:rowOff>
                  </from>
                  <to>
                    <xdr:col>3</xdr:col>
                    <xdr:colOff>254000</xdr:colOff>
                    <xdr:row>315</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315</xdr:row>
                    <xdr:rowOff>127000</xdr:rowOff>
                  </from>
                  <to>
                    <xdr:col>3</xdr:col>
                    <xdr:colOff>254000</xdr:colOff>
                    <xdr:row>317</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317</xdr:row>
                    <xdr:rowOff>38100</xdr:rowOff>
                  </from>
                  <to>
                    <xdr:col>3</xdr:col>
                    <xdr:colOff>254000</xdr:colOff>
                    <xdr:row>318</xdr:row>
                    <xdr:rowOff>146050</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1079500</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246</xdr:row>
                    <xdr:rowOff>12700</xdr:rowOff>
                  </from>
                  <to>
                    <xdr:col>1</xdr:col>
                    <xdr:colOff>1498600</xdr:colOff>
                    <xdr:row>246</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246</xdr:row>
                    <xdr:rowOff>19050</xdr:rowOff>
                  </from>
                  <to>
                    <xdr:col>10</xdr:col>
                    <xdr:colOff>184150</xdr:colOff>
                    <xdr:row>246</xdr:row>
                    <xdr:rowOff>241300</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246</xdr:row>
                    <xdr:rowOff>19050</xdr:rowOff>
                  </from>
                  <to>
                    <xdr:col>14</xdr:col>
                    <xdr:colOff>514350</xdr:colOff>
                    <xdr:row>246</xdr:row>
                    <xdr:rowOff>241300</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253</xdr:row>
                    <xdr:rowOff>19050</xdr:rowOff>
                  </from>
                  <to>
                    <xdr:col>14</xdr:col>
                    <xdr:colOff>0</xdr:colOff>
                    <xdr:row>253</xdr:row>
                    <xdr:rowOff>254000</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31750</xdr:colOff>
                    <xdr:row>253</xdr:row>
                    <xdr:rowOff>19050</xdr:rowOff>
                  </from>
                  <to>
                    <xdr:col>14</xdr:col>
                    <xdr:colOff>444500</xdr:colOff>
                    <xdr:row>253</xdr:row>
                    <xdr:rowOff>254000</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12700</xdr:colOff>
                    <xdr:row>266</xdr:row>
                    <xdr:rowOff>0</xdr:rowOff>
                  </from>
                  <to>
                    <xdr:col>15</xdr:col>
                    <xdr:colOff>0</xdr:colOff>
                    <xdr:row>267</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69850</xdr:colOff>
                    <xdr:row>266</xdr:row>
                    <xdr:rowOff>31750</xdr:rowOff>
                  </from>
                  <to>
                    <xdr:col>14</xdr:col>
                    <xdr:colOff>50800</xdr:colOff>
                    <xdr:row>266</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266</xdr:row>
                    <xdr:rowOff>31750</xdr:rowOff>
                  </from>
                  <to>
                    <xdr:col>14</xdr:col>
                    <xdr:colOff>596900</xdr:colOff>
                    <xdr:row>266</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965200</xdr:colOff>
                    <xdr:row>403</xdr:row>
                    <xdr:rowOff>0</xdr:rowOff>
                  </from>
                  <to>
                    <xdr:col>15</xdr:col>
                    <xdr:colOff>0</xdr:colOff>
                    <xdr:row>404</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403</xdr:row>
                    <xdr:rowOff>19050</xdr:rowOff>
                  </from>
                  <to>
                    <xdr:col>2</xdr:col>
                    <xdr:colOff>228600</xdr:colOff>
                    <xdr:row>403</xdr:row>
                    <xdr:rowOff>215900</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203200</xdr:colOff>
                    <xdr:row>403</xdr:row>
                    <xdr:rowOff>19050</xdr:rowOff>
                  </from>
                  <to>
                    <xdr:col>11</xdr:col>
                    <xdr:colOff>69850</xdr:colOff>
                    <xdr:row>403</xdr:row>
                    <xdr:rowOff>215900</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50800</xdr:colOff>
                    <xdr:row>403</xdr:row>
                    <xdr:rowOff>19050</xdr:rowOff>
                  </from>
                  <to>
                    <xdr:col>14</xdr:col>
                    <xdr:colOff>596900</xdr:colOff>
                    <xdr:row>403</xdr:row>
                    <xdr:rowOff>215900</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146050</xdr:colOff>
                    <xdr:row>413</xdr:row>
                    <xdr:rowOff>95250</xdr:rowOff>
                  </from>
                  <to>
                    <xdr:col>4</xdr:col>
                    <xdr:colOff>76200</xdr:colOff>
                    <xdr:row>414</xdr:row>
                    <xdr:rowOff>82550</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412</xdr:row>
                    <xdr:rowOff>6350</xdr:rowOff>
                  </from>
                  <to>
                    <xdr:col>11</xdr:col>
                    <xdr:colOff>222250</xdr:colOff>
                    <xdr:row>413</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25400</xdr:colOff>
                    <xdr:row>412</xdr:row>
                    <xdr:rowOff>215900</xdr:rowOff>
                  </from>
                  <to>
                    <xdr:col>12</xdr:col>
                    <xdr:colOff>412750</xdr:colOff>
                    <xdr:row>413</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413</xdr:row>
                    <xdr:rowOff>196850</xdr:rowOff>
                  </from>
                  <to>
                    <xdr:col>13</xdr:col>
                    <xdr:colOff>0</xdr:colOff>
                    <xdr:row>414</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414</xdr:row>
                    <xdr:rowOff>177800</xdr:rowOff>
                  </from>
                  <to>
                    <xdr:col>13</xdr:col>
                    <xdr:colOff>0</xdr:colOff>
                    <xdr:row>415</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423</xdr:row>
                    <xdr:rowOff>19050</xdr:rowOff>
                  </from>
                  <to>
                    <xdr:col>1</xdr:col>
                    <xdr:colOff>1422400</xdr:colOff>
                    <xdr:row>427</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423</xdr:row>
                    <xdr:rowOff>57150</xdr:rowOff>
                  </from>
                  <to>
                    <xdr:col>1</xdr:col>
                    <xdr:colOff>1384300</xdr:colOff>
                    <xdr:row>423</xdr:row>
                    <xdr:rowOff>298450</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424</xdr:row>
                    <xdr:rowOff>76200</xdr:rowOff>
                  </from>
                  <to>
                    <xdr:col>1</xdr:col>
                    <xdr:colOff>1384300</xdr:colOff>
                    <xdr:row>424</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1092200</xdr:colOff>
                    <xdr:row>424</xdr:row>
                    <xdr:rowOff>425450</xdr:rowOff>
                  </from>
                  <to>
                    <xdr:col>1</xdr:col>
                    <xdr:colOff>1390650</xdr:colOff>
                    <xdr:row>425</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1092200</xdr:colOff>
                    <xdr:row>425</xdr:row>
                    <xdr:rowOff>330200</xdr:rowOff>
                  </from>
                  <to>
                    <xdr:col>1</xdr:col>
                    <xdr:colOff>1390650</xdr:colOff>
                    <xdr:row>426</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424</xdr:row>
                    <xdr:rowOff>228600</xdr:rowOff>
                  </from>
                  <to>
                    <xdr:col>1</xdr:col>
                    <xdr:colOff>742950</xdr:colOff>
                    <xdr:row>425</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438</xdr:row>
                    <xdr:rowOff>88900</xdr:rowOff>
                  </from>
                  <to>
                    <xdr:col>14</xdr:col>
                    <xdr:colOff>44450</xdr:colOff>
                    <xdr:row>438</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12700</xdr:colOff>
                    <xdr:row>438</xdr:row>
                    <xdr:rowOff>88900</xdr:rowOff>
                  </from>
                  <to>
                    <xdr:col>14</xdr:col>
                    <xdr:colOff>596900</xdr:colOff>
                    <xdr:row>438</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442</xdr:row>
                    <xdr:rowOff>31750</xdr:rowOff>
                  </from>
                  <to>
                    <xdr:col>14</xdr:col>
                    <xdr:colOff>44450</xdr:colOff>
                    <xdr:row>442</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12700</xdr:colOff>
                    <xdr:row>442</xdr:row>
                    <xdr:rowOff>31750</xdr:rowOff>
                  </from>
                  <to>
                    <xdr:col>14</xdr:col>
                    <xdr:colOff>596900</xdr:colOff>
                    <xdr:row>442</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372</xdr:row>
                    <xdr:rowOff>19050</xdr:rowOff>
                  </from>
                  <to>
                    <xdr:col>2</xdr:col>
                    <xdr:colOff>25400</xdr:colOff>
                    <xdr:row>372</xdr:row>
                    <xdr:rowOff>254000</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1466850</xdr:colOff>
                    <xdr:row>372</xdr:row>
                    <xdr:rowOff>19050</xdr:rowOff>
                  </from>
                  <to>
                    <xdr:col>14</xdr:col>
                    <xdr:colOff>584200</xdr:colOff>
                    <xdr:row>372</xdr:row>
                    <xdr:rowOff>254000</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47"/>
  <sheetViews>
    <sheetView showGridLines="0" zoomScale="120" zoomScaleNormal="120" workbookViewId="0"/>
  </sheetViews>
  <sheetFormatPr defaultColWidth="2.26953125" defaultRowHeight="13" x14ac:dyDescent="0.3"/>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3">
      <c r="B1" s="10" t="s">
        <v>1732</v>
      </c>
      <c r="C1" s="747" t="str">
        <f>IF('Start here'!A6="","",'Start here'!A6)</f>
        <v/>
      </c>
      <c r="D1" s="751"/>
      <c r="E1" s="751"/>
      <c r="F1" s="751"/>
      <c r="G1" s="751"/>
      <c r="H1" s="751"/>
      <c r="I1" s="751"/>
      <c r="J1" s="752"/>
      <c r="K1" s="1"/>
      <c r="L1" s="747" t="str">
        <f>IF('Start here'!A7="","",'Start here'!A7)</f>
        <v/>
      </c>
      <c r="M1" s="751"/>
      <c r="N1" s="751"/>
      <c r="O1" s="751"/>
      <c r="P1" s="752"/>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3">
      <c r="B2" s="792"/>
      <c r="C2" s="792"/>
      <c r="D2" s="792"/>
      <c r="E2" s="792"/>
      <c r="F2" s="792"/>
      <c r="G2" s="792"/>
      <c r="H2" s="792"/>
      <c r="I2" s="792"/>
      <c r="J2" s="792"/>
      <c r="K2" s="792"/>
      <c r="L2" s="792"/>
      <c r="M2" s="792"/>
      <c r="N2" s="792"/>
      <c r="O2" s="792"/>
      <c r="P2" s="792"/>
    </row>
    <row r="3" spans="2:170" ht="21" customHeight="1" x14ac:dyDescent="0.3">
      <c r="B3" s="1380" t="s">
        <v>139</v>
      </c>
      <c r="C3" s="1381"/>
      <c r="D3" s="1381"/>
      <c r="E3" s="1381"/>
      <c r="F3" s="1381"/>
      <c r="G3" s="1381"/>
      <c r="H3" s="1381"/>
      <c r="I3" s="1381"/>
      <c r="J3" s="1381"/>
      <c r="K3" s="1381"/>
      <c r="L3" s="1381"/>
      <c r="M3" s="1381"/>
      <c r="N3" s="1381"/>
      <c r="O3" s="1381"/>
      <c r="P3" s="1382"/>
      <c r="R3" s="10"/>
      <c r="S3" s="155">
        <v>38353</v>
      </c>
      <c r="T3" s="155">
        <f>'Start here'!A8</f>
        <v>0</v>
      </c>
      <c r="W3" s="10"/>
      <c r="X3" s="10"/>
      <c r="Y3" s="10"/>
      <c r="Z3" s="10"/>
      <c r="AA3" s="10"/>
      <c r="AB3" s="10"/>
      <c r="AC3" s="10"/>
      <c r="AD3" s="10"/>
      <c r="AE3" s="10"/>
      <c r="AF3" s="10"/>
      <c r="AG3" s="10"/>
    </row>
    <row r="4" spans="2:170" ht="65.25" customHeight="1" x14ac:dyDescent="0.3">
      <c r="B4" s="771" t="s">
        <v>735</v>
      </c>
      <c r="C4" s="772"/>
      <c r="D4" s="772"/>
      <c r="E4" s="772"/>
      <c r="F4" s="772"/>
      <c r="G4" s="772"/>
      <c r="H4" s="772"/>
      <c r="I4" s="772"/>
      <c r="J4" s="772"/>
      <c r="K4" s="772"/>
      <c r="L4" s="772"/>
      <c r="M4" s="772"/>
      <c r="N4" s="772"/>
      <c r="O4" s="772"/>
      <c r="P4" s="773"/>
      <c r="R4" s="10"/>
      <c r="S4" s="259" t="str">
        <f>IF(T3&gt;=S3,"Go to PPD Worksheet","")</f>
        <v/>
      </c>
      <c r="T4" s="50" t="str">
        <f>IF(T3&lt;S3,"Go to PPD Worksheet","")</f>
        <v>Go to PPD Worksheet</v>
      </c>
      <c r="U4" s="10"/>
      <c r="V4" s="10"/>
      <c r="W4" s="10"/>
      <c r="X4" s="10"/>
      <c r="Y4" s="10"/>
      <c r="Z4" s="10"/>
      <c r="AA4" s="10"/>
      <c r="AB4" s="10"/>
      <c r="AC4" s="10"/>
      <c r="AD4" s="10"/>
      <c r="AE4" s="10"/>
      <c r="AF4" s="10"/>
      <c r="AG4" s="10"/>
    </row>
    <row r="5" spans="2:170" ht="51.75" customHeight="1" x14ac:dyDescent="0.3">
      <c r="B5" s="537" t="s">
        <v>140</v>
      </c>
      <c r="C5" s="771" t="s">
        <v>1371</v>
      </c>
      <c r="D5" s="772"/>
      <c r="E5" s="773"/>
      <c r="F5" s="1413" t="str">
        <f>IF('Start here'!A9="","",'Start here'!A9)</f>
        <v/>
      </c>
      <c r="G5" s="1414"/>
      <c r="H5" s="1414"/>
      <c r="I5" s="1412" t="str">
        <f>IF('Start here'!A8="","Enter date of injury on 'Start here' worksheet.","Date of injury:")</f>
        <v>Enter date of injury on 'Start here' worksheet.</v>
      </c>
      <c r="J5" s="1412"/>
      <c r="K5" s="1412"/>
      <c r="L5" s="1413" t="str">
        <f>IF('Start here'!A8="","",'Start here'!A8)</f>
        <v/>
      </c>
      <c r="M5" s="1414"/>
      <c r="N5" s="1414"/>
      <c r="O5" s="1415" t="s">
        <v>2207</v>
      </c>
      <c r="P5" s="1415"/>
      <c r="R5" s="19" t="s">
        <v>2241</v>
      </c>
      <c r="S5" s="619">
        <v>0</v>
      </c>
      <c r="T5" s="101"/>
      <c r="U5" s="10"/>
      <c r="V5" s="10"/>
      <c r="W5" s="10"/>
      <c r="X5" s="10"/>
      <c r="Y5" s="10"/>
      <c r="Z5" s="10"/>
      <c r="AA5" s="10"/>
      <c r="AB5" s="10"/>
      <c r="AC5" s="10"/>
      <c r="AD5" s="10"/>
      <c r="AE5" s="10"/>
      <c r="AF5" s="10"/>
      <c r="AG5" s="10"/>
    </row>
    <row r="6" spans="2:170" ht="18" customHeight="1" x14ac:dyDescent="0.3">
      <c r="B6" s="1420" t="s">
        <v>2143</v>
      </c>
      <c r="C6" s="538"/>
      <c r="D6" s="772" t="s">
        <v>2145</v>
      </c>
      <c r="E6" s="772"/>
      <c r="F6" s="772"/>
      <c r="G6" s="772"/>
      <c r="H6" s="773"/>
      <c r="I6" s="1425" t="str">
        <f>IF(AND(S8=TRUE,T8=TRUE),"ERROR: Check box for occupational disease or occupational injury, not both.",IF(AND(S8=FALSE,T8=FALSE),S7,IF(AND(D8="NA",U8=TRUE),"ERROR: Uncheck box next to NA or check box for occupational injury.","")))</f>
        <v>Check box for either occupational disease or occupational injury.</v>
      </c>
      <c r="J6" s="1426"/>
      <c r="K6" s="1426"/>
      <c r="L6" s="1426"/>
      <c r="M6" s="1426"/>
      <c r="N6" s="1426"/>
      <c r="O6" s="1426"/>
      <c r="P6" s="1427"/>
      <c r="R6" s="10"/>
      <c r="S6" s="104"/>
      <c r="T6" s="101"/>
      <c r="U6" s="10"/>
      <c r="V6" s="10"/>
      <c r="W6" s="10"/>
      <c r="X6" s="10"/>
      <c r="Y6" s="10"/>
      <c r="Z6" s="10"/>
      <c r="AA6" s="10"/>
      <c r="AB6" s="10"/>
      <c r="AC6" s="10"/>
      <c r="AD6" s="10"/>
      <c r="AE6" s="10"/>
      <c r="AF6" s="10"/>
      <c r="AG6" s="10"/>
    </row>
    <row r="7" spans="2:170" ht="18" customHeight="1" x14ac:dyDescent="0.3">
      <c r="B7" s="1421"/>
      <c r="C7" s="538"/>
      <c r="D7" s="772" t="s">
        <v>2144</v>
      </c>
      <c r="E7" s="772"/>
      <c r="F7" s="772"/>
      <c r="G7" s="772"/>
      <c r="H7" s="773"/>
      <c r="I7" s="1428"/>
      <c r="J7" s="1429"/>
      <c r="K7" s="1429"/>
      <c r="L7" s="1429"/>
      <c r="M7" s="1429"/>
      <c r="N7" s="1429"/>
      <c r="O7" s="1429"/>
      <c r="P7" s="1430"/>
      <c r="R7" s="10"/>
      <c r="S7" s="1375" t="s">
        <v>2147</v>
      </c>
      <c r="T7" s="1375"/>
      <c r="U7" s="1375"/>
      <c r="V7" s="1375"/>
      <c r="W7" s="1375"/>
      <c r="X7" s="10"/>
      <c r="Y7" s="10"/>
      <c r="Z7" s="10"/>
      <c r="AA7" s="10"/>
      <c r="AB7" s="10"/>
      <c r="AC7" s="10"/>
      <c r="AD7" s="10"/>
      <c r="AE7" s="10"/>
      <c r="AF7" s="10"/>
      <c r="AG7" s="10"/>
    </row>
    <row r="8" spans="2:170" ht="18" customHeight="1" x14ac:dyDescent="0.3">
      <c r="B8" s="1422"/>
      <c r="C8" s="538"/>
      <c r="D8" s="1423" t="str">
        <f>IF(T8=TRUE,"Check box if presbycusis, if any, was caused by a qualifying preexisting condition.","NA")</f>
        <v>NA</v>
      </c>
      <c r="E8" s="1423"/>
      <c r="F8" s="1423"/>
      <c r="G8" s="1423"/>
      <c r="H8" s="1423"/>
      <c r="I8" s="1423"/>
      <c r="J8" s="1423"/>
      <c r="K8" s="1423"/>
      <c r="L8" s="1423"/>
      <c r="M8" s="1423"/>
      <c r="N8" s="1423"/>
      <c r="O8" s="1423"/>
      <c r="P8" s="1424"/>
      <c r="R8" s="10"/>
      <c r="S8" s="620" t="b">
        <v>0</v>
      </c>
      <c r="T8" s="621" t="b">
        <v>0</v>
      </c>
      <c r="U8" s="555" t="b">
        <v>0</v>
      </c>
      <c r="V8" s="10"/>
      <c r="W8" s="10"/>
      <c r="X8" s="10"/>
      <c r="Y8" s="10"/>
      <c r="Z8" s="10"/>
      <c r="AA8" s="10"/>
      <c r="AB8" s="10"/>
      <c r="AC8" s="10"/>
      <c r="AD8" s="10"/>
      <c r="AE8" s="10"/>
      <c r="AF8" s="10"/>
      <c r="AG8" s="10"/>
    </row>
    <row r="9" spans="2:170" ht="36.75" customHeight="1" x14ac:dyDescent="0.3">
      <c r="B9" s="401" t="str">
        <f>IF(AND(F5="",F11="",T17+V17&gt;2),"Enter date of birth on 'Start here' worksheet or age on this worksheet.",IF(AND(L12&lt;L5,L12&lt;&gt;""),"Current audiogram cannot precede date of injury.",IF(AND(F12&gt;=L5,F12&lt;&gt;""),"Baseline exam date must precede date of injury.",IF(AND(F5&lt;&gt;"",F12&lt;=F5,F12&lt;&gt;""),"Baseline exam date cannot precede date of birth.",""))))</f>
        <v/>
      </c>
      <c r="C9" s="947" t="s">
        <v>26</v>
      </c>
      <c r="D9" s="947"/>
      <c r="E9" s="947"/>
      <c r="F9" s="947"/>
      <c r="G9" s="947"/>
      <c r="H9" s="947"/>
      <c r="I9" s="947" t="s">
        <v>508</v>
      </c>
      <c r="J9" s="947"/>
      <c r="K9" s="947"/>
      <c r="L9" s="947"/>
      <c r="M9" s="947"/>
      <c r="N9" s="947"/>
      <c r="O9" s="1410" t="str">
        <f>IF(AND(V16=2,L5=""),"Enter date of injury on 'Start here' worksheet.",IF(AND(F5="",L11="",X17+Z17&gt;2),"Enter date of birth on 'Start here' worksheet or age on this worksheet.",""))</f>
        <v/>
      </c>
      <c r="P9" s="1410"/>
      <c r="R9" s="10"/>
      <c r="S9" s="10"/>
      <c r="T9" s="10"/>
      <c r="U9" s="10"/>
      <c r="V9" s="10"/>
      <c r="W9" s="10"/>
      <c r="X9" s="10"/>
      <c r="Y9" s="10"/>
      <c r="Z9" s="10"/>
      <c r="AA9" s="10"/>
      <c r="AB9" s="10"/>
      <c r="AC9" s="10"/>
      <c r="AD9" s="10"/>
      <c r="AE9" s="10"/>
      <c r="AF9" s="10"/>
      <c r="AG9" s="10"/>
    </row>
    <row r="10" spans="2:170" ht="30" customHeight="1" x14ac:dyDescent="0.3">
      <c r="B10" s="179" t="str">
        <f>IF(AND(F11&lt;&gt;"",L11&lt;&gt;"",F11&gt;L11),"ERROR: Current exam age cannot precede baseline exam age.","")</f>
        <v/>
      </c>
      <c r="C10" s="771" t="str">
        <f>IF(F5&lt;&gt;"","Enter exam date, if performed:","DOB is not entered - enter exam age (if performed):")</f>
        <v>DOB is not entered - enter exam age (if performed):</v>
      </c>
      <c r="D10" s="772"/>
      <c r="E10" s="772"/>
      <c r="F10" s="772"/>
      <c r="G10" s="772"/>
      <c r="H10" s="773"/>
      <c r="I10" s="771" t="str">
        <f>IF(F5&lt;&gt;"","Enter exam date:","DOB is not entered - enter exam age:")</f>
        <v>DOB is not entered - enter exam age:</v>
      </c>
      <c r="J10" s="1031"/>
      <c r="K10" s="1031"/>
      <c r="L10" s="1031"/>
      <c r="M10" s="1031"/>
      <c r="N10" s="1032"/>
      <c r="O10" s="827" t="str">
        <f>IF(AND(F5&lt;&gt;"",L11&lt;&gt;""),"Enter date of birth or current exam age, not both.","")</f>
        <v/>
      </c>
      <c r="P10" s="829"/>
      <c r="R10" s="10"/>
      <c r="T10" s="1"/>
      <c r="V10" s="10"/>
      <c r="W10" s="10"/>
      <c r="X10" s="10"/>
      <c r="Y10" s="10"/>
      <c r="Z10" s="10"/>
      <c r="AA10" s="10"/>
      <c r="AB10" s="10"/>
      <c r="AC10" s="10"/>
      <c r="AD10" s="10"/>
      <c r="AE10" s="10"/>
      <c r="AF10" s="10"/>
      <c r="AG10" s="10"/>
    </row>
    <row r="11" spans="2:170" ht="18" customHeight="1" x14ac:dyDescent="0.3">
      <c r="B11" s="402" t="str">
        <f>IF(AND(F5&lt;&gt;"",F12="",S17+U17&gt;0),"Enter baseline exam date.","")</f>
        <v/>
      </c>
      <c r="C11" s="927" t="str">
        <f>IF(F5&lt;&gt;"","","Exam age:")</f>
        <v>Exam age:</v>
      </c>
      <c r="D11" s="927"/>
      <c r="E11" s="927"/>
      <c r="F11" s="1411"/>
      <c r="G11" s="1411"/>
      <c r="H11" s="1411"/>
      <c r="I11" s="927" t="str">
        <f>IF(F5&lt;&gt;"","","Exam age:")</f>
        <v>Exam age:</v>
      </c>
      <c r="J11" s="927"/>
      <c r="K11" s="927"/>
      <c r="L11" s="1411"/>
      <c r="M11" s="1411"/>
      <c r="N11" s="1411"/>
      <c r="O11" s="827" t="str">
        <f>IF(AND(F5&lt;&gt;"",L12=""),"Enter current exam date.","")</f>
        <v/>
      </c>
      <c r="P11" s="829"/>
      <c r="R11" s="10"/>
      <c r="S11" s="925" t="s">
        <v>2244</v>
      </c>
      <c r="T11" s="925"/>
      <c r="U11" s="925"/>
      <c r="V11" s="925"/>
      <c r="X11" s="10"/>
      <c r="Y11" s="10"/>
      <c r="Z11" s="10"/>
      <c r="AA11" s="10"/>
      <c r="AB11" s="10"/>
      <c r="AC11" s="10"/>
      <c r="AD11" s="10"/>
      <c r="AE11" s="10"/>
      <c r="AF11" s="10"/>
      <c r="AG11" s="10"/>
    </row>
    <row r="12" spans="2:170" ht="18" customHeight="1" x14ac:dyDescent="0.3">
      <c r="B12" s="1431" t="str">
        <f>IF(AND(F5&lt;&gt;"",F11&lt;&gt;""),"Enter date of birth or baseline exam age, not both.","")</f>
        <v/>
      </c>
      <c r="C12" s="923" t="str">
        <f>IF(F5="","","Exam date:")</f>
        <v/>
      </c>
      <c r="D12" s="927"/>
      <c r="E12" s="927"/>
      <c r="F12" s="1416"/>
      <c r="G12" s="1416"/>
      <c r="H12" s="1416"/>
      <c r="I12" s="927" t="str">
        <f>IF(F5="","","Exam date:")</f>
        <v/>
      </c>
      <c r="J12" s="927"/>
      <c r="K12" s="927"/>
      <c r="L12" s="1416"/>
      <c r="M12" s="1416"/>
      <c r="N12" s="1417"/>
      <c r="O12" s="827" t="str">
        <f>IF(AND(L12&lt;=F12,L12&lt;&gt;""),"Baseline exam date must precede current exam date.","")</f>
        <v/>
      </c>
      <c r="P12" s="829"/>
      <c r="R12" s="10"/>
      <c r="S12" s="50">
        <f>COUNTIF(C15:C20,0)</f>
        <v>0</v>
      </c>
      <c r="T12" s="50">
        <f>COUNTIF(C15:C20,"")</f>
        <v>6</v>
      </c>
      <c r="U12" s="50">
        <f>COUNTIF(I15:I20,0)</f>
        <v>0</v>
      </c>
      <c r="V12" s="50">
        <f>COUNTIF(I15:I20,"")</f>
        <v>6</v>
      </c>
      <c r="W12" s="10"/>
      <c r="X12" s="10"/>
      <c r="Y12" s="10"/>
      <c r="Z12" s="10"/>
      <c r="AA12" s="10"/>
      <c r="AB12" s="10"/>
      <c r="AC12" s="10"/>
      <c r="AD12" s="10"/>
      <c r="AE12" s="10"/>
      <c r="AF12" s="10"/>
      <c r="AG12" s="10"/>
    </row>
    <row r="13" spans="2:170" ht="18" customHeight="1" x14ac:dyDescent="0.3">
      <c r="B13" s="1431"/>
      <c r="C13" s="923" t="str">
        <f>IF(AND(F5&lt;&gt;"",F12&lt;&gt;""),"Exam age:","")</f>
        <v/>
      </c>
      <c r="D13" s="927"/>
      <c r="E13" s="927"/>
      <c r="F13" s="777">
        <f>IF(AND(SUM(S17,U17)&gt;0,F5="",F11=""),"Age?",'Hearing-Table'!G6)</f>
        <v>0</v>
      </c>
      <c r="G13" s="777"/>
      <c r="H13" s="777"/>
      <c r="I13" s="927" t="str">
        <f>IF(AND(F5&lt;&gt;"",L12&lt;&gt;""),"Exam age:","")</f>
        <v/>
      </c>
      <c r="J13" s="927"/>
      <c r="K13" s="927"/>
      <c r="L13" s="777">
        <f>IF(AND(SUM(W17,Y17)&gt;0,F5="",L11=""),"Age?",'Hearing-Table'!H6)</f>
        <v>0</v>
      </c>
      <c r="M13" s="777"/>
      <c r="N13" s="893"/>
      <c r="O13" s="827"/>
      <c r="P13" s="829"/>
      <c r="R13" s="10"/>
      <c r="S13" s="562">
        <f>COUNTIF(F15:F20,0)</f>
        <v>0</v>
      </c>
      <c r="T13" s="50">
        <f>COUNTIF(F15:F20,"")</f>
        <v>6</v>
      </c>
      <c r="U13" s="562">
        <f>COUNTIF(L15:L20,0)</f>
        <v>0</v>
      </c>
      <c r="V13" s="50">
        <f>COUNTIF(L15:L20,"")</f>
        <v>6</v>
      </c>
      <c r="W13" s="10"/>
      <c r="X13" s="10"/>
      <c r="Y13" s="10"/>
      <c r="Z13" s="10"/>
      <c r="AA13" s="10"/>
      <c r="AB13" s="10"/>
      <c r="AC13" s="10"/>
      <c r="AD13" s="10"/>
      <c r="AE13" s="10"/>
      <c r="AF13" s="10"/>
      <c r="AG13" s="10"/>
    </row>
    <row r="14" spans="2:170" ht="18" customHeight="1" x14ac:dyDescent="0.3">
      <c r="B14" s="181"/>
      <c r="C14" s="927" t="s">
        <v>29</v>
      </c>
      <c r="D14" s="927"/>
      <c r="E14" s="927"/>
      <c r="F14" s="927" t="s">
        <v>30</v>
      </c>
      <c r="G14" s="927"/>
      <c r="H14" s="927"/>
      <c r="I14" s="927" t="s">
        <v>29</v>
      </c>
      <c r="J14" s="927"/>
      <c r="K14" s="927"/>
      <c r="L14" s="927" t="s">
        <v>30</v>
      </c>
      <c r="M14" s="927"/>
      <c r="N14" s="927"/>
      <c r="O14" s="824" t="str">
        <f>IF(U18="ERROR",V18,IF(U19="ERROR",V19,IF(U20="ERROR",V20,IF(U21="ERROR",V21,IF(AND(T18=0,T20=6),T24,IF(AND(T19=0,T21=6),T24,""))))))</f>
        <v/>
      </c>
      <c r="P14" s="826"/>
      <c r="R14" s="10"/>
      <c r="S14" s="10"/>
      <c r="T14" s="562">
        <f>SUM(S12,S13,T12,T13)</f>
        <v>12</v>
      </c>
      <c r="U14" s="10"/>
      <c r="V14" s="562">
        <f>SUM(U12,U13,V12,V13)</f>
        <v>12</v>
      </c>
      <c r="W14" s="10"/>
      <c r="X14" s="10"/>
      <c r="Y14" s="10"/>
      <c r="Z14" s="10"/>
      <c r="AA14" s="10"/>
      <c r="AB14" s="10"/>
      <c r="AC14" s="10"/>
      <c r="AD14" s="10"/>
      <c r="AE14" s="10"/>
      <c r="AF14" s="10"/>
      <c r="AG14" s="10"/>
    </row>
    <row r="15" spans="2:170" ht="18" customHeight="1" x14ac:dyDescent="0.3">
      <c r="B15" s="323" t="s">
        <v>31</v>
      </c>
      <c r="C15" s="1260"/>
      <c r="D15" s="1269"/>
      <c r="E15" s="1261"/>
      <c r="F15" s="1260"/>
      <c r="G15" s="1269"/>
      <c r="H15" s="1261"/>
      <c r="I15" s="1260"/>
      <c r="J15" s="1269"/>
      <c r="K15" s="1261"/>
      <c r="L15" s="1260"/>
      <c r="M15" s="1269"/>
      <c r="N15" s="1261"/>
      <c r="O15" s="827"/>
      <c r="P15" s="829"/>
      <c r="R15" s="10"/>
      <c r="S15" s="10"/>
      <c r="T15" s="10"/>
      <c r="U15" s="10"/>
      <c r="V15" s="10"/>
      <c r="W15" s="10"/>
      <c r="X15" s="10"/>
      <c r="Y15" s="10"/>
      <c r="Z15" s="10"/>
      <c r="AA15" s="10"/>
      <c r="AB15" s="10"/>
      <c r="AC15" s="10"/>
      <c r="AD15" s="10"/>
      <c r="AE15" s="10"/>
      <c r="AF15" s="10"/>
      <c r="AG15" s="10"/>
    </row>
    <row r="16" spans="2:170" ht="18" customHeight="1" x14ac:dyDescent="0.3">
      <c r="B16" s="403">
        <v>1000</v>
      </c>
      <c r="C16" s="1260"/>
      <c r="D16" s="1269"/>
      <c r="E16" s="1261"/>
      <c r="F16" s="1260"/>
      <c r="G16" s="1269"/>
      <c r="H16" s="1261"/>
      <c r="I16" s="1260"/>
      <c r="J16" s="1269"/>
      <c r="K16" s="1261"/>
      <c r="L16" s="1260"/>
      <c r="M16" s="1269"/>
      <c r="N16" s="1261"/>
      <c r="O16" s="827"/>
      <c r="P16" s="829"/>
      <c r="R16" s="10"/>
      <c r="S16" s="579">
        <f>IF(OR(F5="",F12=""),1,2)</f>
        <v>1</v>
      </c>
      <c r="T16" s="595">
        <f>IF(OR(F5="",L12=""),1,2)</f>
        <v>1</v>
      </c>
      <c r="U16" s="595">
        <f>SUM(C15:L20)</f>
        <v>0</v>
      </c>
      <c r="V16" s="579">
        <f>IF(U16=0,1,2)</f>
        <v>1</v>
      </c>
      <c r="W16" s="10"/>
      <c r="X16" s="10"/>
      <c r="Y16" s="10"/>
      <c r="Z16" s="10"/>
      <c r="AA16" s="10"/>
      <c r="AB16" s="10"/>
      <c r="AC16" s="10"/>
      <c r="AD16" s="10"/>
      <c r="AE16" s="10"/>
      <c r="AF16" s="10"/>
      <c r="AG16" s="10"/>
    </row>
    <row r="17" spans="2:33" ht="18" customHeight="1" x14ac:dyDescent="0.3">
      <c r="B17" s="403">
        <v>2000</v>
      </c>
      <c r="C17" s="1260"/>
      <c r="D17" s="1269"/>
      <c r="E17" s="1261"/>
      <c r="F17" s="1260"/>
      <c r="G17" s="1269"/>
      <c r="H17" s="1261"/>
      <c r="I17" s="1260"/>
      <c r="J17" s="1269"/>
      <c r="K17" s="1261"/>
      <c r="L17" s="1260"/>
      <c r="M17" s="1269"/>
      <c r="N17" s="1261"/>
      <c r="O17" s="827"/>
      <c r="P17" s="829"/>
      <c r="R17" s="10"/>
      <c r="S17" s="50">
        <f>SUM(C15:C20)</f>
        <v>0</v>
      </c>
      <c r="T17" s="50">
        <f>IF(S17=0,1,2)</f>
        <v>1</v>
      </c>
      <c r="U17" s="50">
        <f>SUM(F15:F20)</f>
        <v>0</v>
      </c>
      <c r="V17" s="595">
        <f>IF(U17=0,1,2)</f>
        <v>1</v>
      </c>
      <c r="W17" s="595">
        <f>SUM(I15:I20)</f>
        <v>0</v>
      </c>
      <c r="X17" s="595">
        <f>IF(W17=0,1,2)</f>
        <v>1</v>
      </c>
      <c r="Y17" s="595">
        <f>SUM(L15:L20)</f>
        <v>0</v>
      </c>
      <c r="Z17" s="595">
        <f>IF(Y17=0,1,2)</f>
        <v>1</v>
      </c>
      <c r="AA17" s="10"/>
      <c r="AB17" s="10"/>
      <c r="AC17" s="10"/>
      <c r="AD17" s="10"/>
      <c r="AE17" s="10"/>
      <c r="AF17" s="10"/>
      <c r="AG17" s="10"/>
    </row>
    <row r="18" spans="2:33" ht="18" customHeight="1" x14ac:dyDescent="0.3">
      <c r="B18" s="403">
        <v>3000</v>
      </c>
      <c r="C18" s="1260"/>
      <c r="D18" s="1269"/>
      <c r="E18" s="1261"/>
      <c r="F18" s="1260"/>
      <c r="G18" s="1269"/>
      <c r="H18" s="1261"/>
      <c r="I18" s="1260"/>
      <c r="J18" s="1269"/>
      <c r="K18" s="1261"/>
      <c r="L18" s="1260"/>
      <c r="M18" s="1269"/>
      <c r="N18" s="1261"/>
      <c r="O18" s="827"/>
      <c r="P18" s="829"/>
      <c r="R18" s="10"/>
      <c r="S18" s="146" t="s">
        <v>2331</v>
      </c>
      <c r="T18" s="20">
        <f>COUNTIF(C15:C20,"")</f>
        <v>6</v>
      </c>
      <c r="U18" s="18" t="str">
        <f>IF(AND(T18&gt;0,T18&lt;6),"ERROR","OK")</f>
        <v>OK</v>
      </c>
      <c r="V18" s="806" t="s">
        <v>1320</v>
      </c>
      <c r="W18" s="806"/>
      <c r="X18" s="806"/>
      <c r="Y18" s="806"/>
      <c r="Z18" s="806"/>
      <c r="AA18" s="806"/>
      <c r="AB18" s="10"/>
      <c r="AC18" s="10"/>
      <c r="AD18" s="10"/>
      <c r="AE18" s="10"/>
      <c r="AF18" s="10"/>
      <c r="AG18" s="10"/>
    </row>
    <row r="19" spans="2:33" ht="18" customHeight="1" x14ac:dyDescent="0.3">
      <c r="B19" s="403">
        <v>4000</v>
      </c>
      <c r="C19" s="1260"/>
      <c r="D19" s="1269"/>
      <c r="E19" s="1261"/>
      <c r="F19" s="1260"/>
      <c r="G19" s="1269"/>
      <c r="H19" s="1261"/>
      <c r="I19" s="1260"/>
      <c r="J19" s="1269"/>
      <c r="K19" s="1261"/>
      <c r="L19" s="1260"/>
      <c r="M19" s="1269"/>
      <c r="N19" s="1261"/>
      <c r="O19" s="827"/>
      <c r="P19" s="829"/>
      <c r="R19" s="10"/>
      <c r="S19" s="146" t="s">
        <v>2332</v>
      </c>
      <c r="T19" s="18">
        <f>COUNTIF(F15:F20,"")</f>
        <v>6</v>
      </c>
      <c r="U19" s="18" t="str">
        <f>IF(AND(T19&gt;0,T19&lt;6),"ERROR","OK")</f>
        <v>OK</v>
      </c>
      <c r="V19" s="806" t="s">
        <v>1532</v>
      </c>
      <c r="W19" s="806"/>
      <c r="X19" s="806"/>
      <c r="Y19" s="806"/>
      <c r="Z19" s="806"/>
      <c r="AA19" s="806"/>
      <c r="AB19" s="10"/>
      <c r="AC19" s="10"/>
      <c r="AD19" s="10"/>
      <c r="AE19" s="10"/>
      <c r="AF19" s="10"/>
      <c r="AG19" s="10"/>
    </row>
    <row r="20" spans="2:33" ht="18" customHeight="1" x14ac:dyDescent="0.3">
      <c r="B20" s="403">
        <v>6000</v>
      </c>
      <c r="C20" s="1260"/>
      <c r="D20" s="1269"/>
      <c r="E20" s="1261"/>
      <c r="F20" s="1260"/>
      <c r="G20" s="1269"/>
      <c r="H20" s="1261"/>
      <c r="I20" s="1260"/>
      <c r="J20" s="1269"/>
      <c r="K20" s="1261"/>
      <c r="L20" s="1260"/>
      <c r="M20" s="1269"/>
      <c r="N20" s="1261"/>
      <c r="O20" s="830"/>
      <c r="P20" s="832"/>
      <c r="R20" s="10"/>
      <c r="S20" s="146" t="s">
        <v>2333</v>
      </c>
      <c r="T20" s="18">
        <f>COUNTIF(I15:I20,"")</f>
        <v>6</v>
      </c>
      <c r="U20" s="18" t="str">
        <f>IF(AND(T20&gt;0,T20&lt;6),"ERROR","OK")</f>
        <v>OK</v>
      </c>
      <c r="V20" s="806" t="s">
        <v>1768</v>
      </c>
      <c r="W20" s="806"/>
      <c r="X20" s="806"/>
      <c r="Y20" s="806"/>
      <c r="Z20" s="806"/>
      <c r="AA20" s="806"/>
      <c r="AB20" s="10"/>
      <c r="AC20" s="10"/>
      <c r="AD20" s="10"/>
      <c r="AE20" s="10"/>
      <c r="AF20" s="10"/>
      <c r="AG20" s="10"/>
    </row>
    <row r="21" spans="2:33" ht="18" customHeight="1" x14ac:dyDescent="0.3">
      <c r="B21" s="403" t="s">
        <v>33</v>
      </c>
      <c r="C21" s="1379">
        <f>IF(S17=0,0,IF(OR(B9&lt;&gt;"",B10&lt;&gt;"",B11&lt;&gt;"",S23=1),"ERROR",SUM(C15:C20)))</f>
        <v>0</v>
      </c>
      <c r="D21" s="1379"/>
      <c r="E21" s="1379"/>
      <c r="F21" s="1379">
        <f>IF(U17=0,0,IF(OR(B9&lt;&gt;"",B10&lt;&gt;"",B11&lt;&gt;"",S23=1),"ERROR",SUM(F15:F20)))</f>
        <v>0</v>
      </c>
      <c r="G21" s="1379"/>
      <c r="H21" s="1379"/>
      <c r="I21" s="1379">
        <f>IF(W17=0,0,IF(OR(B9&lt;&gt;"",B10&lt;&gt;"",O11&lt;&gt;"",I6&lt;&gt;"",S23=1),"ERROR",SUM(I15:I20)))</f>
        <v>0</v>
      </c>
      <c r="J21" s="1379"/>
      <c r="K21" s="1379"/>
      <c r="L21" s="1379">
        <f>IF(Y17=0,0,IF(OR(B9&lt;&gt;"",B10&lt;&gt;"",O11&lt;&gt;"",I6&lt;&gt;"",S23=1),"ERROR",SUM(L15:L20)))</f>
        <v>0</v>
      </c>
      <c r="M21" s="1379"/>
      <c r="N21" s="1379"/>
      <c r="O21" s="1404" t="str">
        <f>IF(AND(V14&lt;12,F5="",L11=""),"Presbycusis cannot be determined without date of birth or age.",IF(AND(T8=TRUE,U8=FALSE,S22=1),T23,IF(T8=TRUE,T22,"")))</f>
        <v/>
      </c>
      <c r="P21" s="1405"/>
      <c r="R21" s="10"/>
      <c r="S21" s="146" t="s">
        <v>2334</v>
      </c>
      <c r="T21" s="18">
        <f>COUNTIF(L15:L20,"")</f>
        <v>6</v>
      </c>
      <c r="U21" s="18" t="str">
        <f>IF(AND(T21&gt;0,T21&lt;6),"ERROR","OK")</f>
        <v>OK</v>
      </c>
      <c r="V21" s="806" t="s">
        <v>62</v>
      </c>
      <c r="W21" s="806"/>
      <c r="X21" s="806"/>
      <c r="Y21" s="806"/>
      <c r="Z21" s="806"/>
      <c r="AA21" s="806"/>
      <c r="AB21" s="10"/>
      <c r="AC21" s="10"/>
      <c r="AD21" s="10"/>
      <c r="AE21" s="10"/>
      <c r="AF21" s="10"/>
      <c r="AG21" s="10"/>
    </row>
    <row r="22" spans="2:33" ht="27" customHeight="1" x14ac:dyDescent="0.3">
      <c r="B22" s="403" t="s">
        <v>2150</v>
      </c>
      <c r="C22" s="1379">
        <f>IF(C21=0,0,IF(AND(S5&lt;&gt;1,S5&lt;&gt;2),"Gender?",'Hearing-Table'!G10))</f>
        <v>0</v>
      </c>
      <c r="D22" s="1379"/>
      <c r="E22" s="1379"/>
      <c r="F22" s="1379">
        <f>IF(F21=0,0,IF(AND(S5&lt;&gt;1,S5&lt;&gt;2),"Gender?",'Hearing-Table'!G10))</f>
        <v>0</v>
      </c>
      <c r="G22" s="1379"/>
      <c r="H22" s="1379"/>
      <c r="I22" s="1379">
        <f>IF(I21=0,0,IF(AND($T$8=TRUE,$U$8=FALSE),0,IF(AND($S$5&lt;&gt;1,$S$5&lt;&gt;2),"Gender?",'Hearing-Table'!$H$10)))</f>
        <v>0</v>
      </c>
      <c r="J22" s="1379"/>
      <c r="K22" s="1379"/>
      <c r="L22" s="1379">
        <f>IF(L21=0,0,IF(AND($T$8=TRUE,$U$8=FALSE),0,IF(AND($S$5&lt;&gt;1,$S$5&lt;&gt;2),"Gender?",'Hearing-Table'!$H$10)))</f>
        <v>0</v>
      </c>
      <c r="M22" s="1379"/>
      <c r="N22" s="1379"/>
      <c r="O22" s="1406"/>
      <c r="P22" s="1407"/>
      <c r="R22" s="10"/>
      <c r="S22" s="50">
        <f>IF(OR(S17&gt;0,U17&gt;0),1,0)</f>
        <v>0</v>
      </c>
      <c r="T22" s="771" t="s">
        <v>2146</v>
      </c>
      <c r="U22" s="772"/>
      <c r="V22" s="772"/>
      <c r="W22" s="772"/>
      <c r="X22" s="772"/>
      <c r="Y22" s="772"/>
      <c r="Z22" s="772"/>
      <c r="AA22" s="772"/>
      <c r="AB22" s="773"/>
      <c r="AC22" s="10"/>
      <c r="AD22" s="10"/>
      <c r="AE22" s="10"/>
      <c r="AF22" s="10"/>
      <c r="AG22" s="10"/>
    </row>
    <row r="23" spans="2:33" ht="27" customHeight="1" x14ac:dyDescent="0.3">
      <c r="B23" s="403" t="s">
        <v>1552</v>
      </c>
      <c r="C23" s="1392">
        <f>IF(C22-150&lt;0,0,C22-150)</f>
        <v>0</v>
      </c>
      <c r="D23" s="1393"/>
      <c r="E23" s="1394"/>
      <c r="F23" s="1392">
        <f>IF(F22-150&lt;0,0,F22-150)</f>
        <v>0</v>
      </c>
      <c r="G23" s="1393"/>
      <c r="H23" s="1394"/>
      <c r="I23" s="1392">
        <f>IF(I22-150&lt;0,0,I22-150)</f>
        <v>0</v>
      </c>
      <c r="J23" s="1393"/>
      <c r="K23" s="1394"/>
      <c r="L23" s="1392">
        <f>IF(L22-150&lt;0,0,L22-150)</f>
        <v>0</v>
      </c>
      <c r="M23" s="1393"/>
      <c r="N23" s="1394"/>
      <c r="O23" s="1406"/>
      <c r="P23" s="1407"/>
      <c r="R23" s="10"/>
      <c r="S23" s="50">
        <f>IF(O21=T23,1,0)</f>
        <v>0</v>
      </c>
      <c r="T23" s="776" t="s">
        <v>2149</v>
      </c>
      <c r="U23" s="776"/>
      <c r="V23" s="776"/>
      <c r="W23" s="776"/>
      <c r="X23" s="776"/>
      <c r="Y23" s="776"/>
      <c r="Z23" s="776"/>
      <c r="AA23" s="776"/>
      <c r="AB23" s="776"/>
      <c r="AC23" s="10"/>
      <c r="AD23" s="10"/>
      <c r="AE23" s="10"/>
      <c r="AF23" s="10"/>
      <c r="AG23" s="10"/>
    </row>
    <row r="24" spans="2:33" ht="18" customHeight="1" x14ac:dyDescent="0.3">
      <c r="B24" s="323" t="s">
        <v>63</v>
      </c>
      <c r="C24" s="1379">
        <f>IF(OR(C22="Gender?",C21="ERROR",C22="ERROR"),0,IF(C21-C23&lt;0,0,C21-C23))</f>
        <v>0</v>
      </c>
      <c r="D24" s="1379"/>
      <c r="E24" s="1379"/>
      <c r="F24" s="1379">
        <f>IF(OR(F22="Gender?",F21="ERROR",F22="ERROR"),0,IF(F21-F23&lt;0,0,F21-F23))</f>
        <v>0</v>
      </c>
      <c r="G24" s="1379"/>
      <c r="H24" s="1379"/>
      <c r="I24" s="1379">
        <f>IF(OR(I22="Gender?",I21="ERROR",I22="ERROR"),0,IF(I21-I23&lt;0,0,I21-I23))</f>
        <v>0</v>
      </c>
      <c r="J24" s="1379"/>
      <c r="K24" s="1379"/>
      <c r="L24" s="1379">
        <f>IF(OR(L22="Gender?",L21="ERROR",L22="ERROR"),0,IF(L21-L23&lt;0,0,L21-L23))</f>
        <v>0</v>
      </c>
      <c r="M24" s="1379"/>
      <c r="N24" s="1379"/>
      <c r="O24" s="1406"/>
      <c r="P24" s="1407"/>
      <c r="R24" s="10"/>
      <c r="S24" s="10"/>
      <c r="T24" s="757" t="s">
        <v>2335</v>
      </c>
      <c r="U24" s="758"/>
      <c r="V24" s="758"/>
      <c r="W24" s="758"/>
      <c r="X24" s="758"/>
      <c r="Y24" s="758"/>
      <c r="Z24" s="758"/>
      <c r="AA24" s="758"/>
      <c r="AB24" s="759"/>
      <c r="AC24" s="10"/>
      <c r="AD24" s="10"/>
      <c r="AE24" s="10"/>
      <c r="AF24" s="10"/>
      <c r="AG24" s="10"/>
    </row>
    <row r="25" spans="2:33" ht="18" customHeight="1" x14ac:dyDescent="0.3">
      <c r="B25" s="323" t="s">
        <v>1165</v>
      </c>
      <c r="C25" s="1395">
        <f>IF(O14&lt;&gt;"",0,'Hearing-Table'!B3)</f>
        <v>0</v>
      </c>
      <c r="D25" s="1395"/>
      <c r="E25" s="1395"/>
      <c r="F25" s="1395">
        <f>IF(O14&lt;&gt;"",0,'Hearing-Table'!C3)</f>
        <v>0</v>
      </c>
      <c r="G25" s="1395"/>
      <c r="H25" s="1395"/>
      <c r="I25" s="1395">
        <f>IF(O14&lt;&gt;"",0,'Hearing-Table'!B6)</f>
        <v>0</v>
      </c>
      <c r="J25" s="1395"/>
      <c r="K25" s="1395"/>
      <c r="L25" s="1395">
        <f>IF(O14&lt;&gt;"",0,'Hearing-Table'!C6)</f>
        <v>0</v>
      </c>
      <c r="M25" s="1395"/>
      <c r="N25" s="1395"/>
      <c r="O25" s="1408"/>
      <c r="P25" s="1409"/>
      <c r="R25" s="10"/>
      <c r="S25" s="10"/>
      <c r="AA25" s="10"/>
      <c r="AB25" s="10"/>
      <c r="AC25" s="10"/>
      <c r="AD25" s="10"/>
      <c r="AE25" s="10"/>
      <c r="AF25" s="10"/>
      <c r="AG25" s="10"/>
    </row>
    <row r="26" spans="2:33" ht="12" customHeight="1" x14ac:dyDescent="0.3">
      <c r="B26" s="712"/>
      <c r="C26" s="712"/>
      <c r="D26" s="712"/>
      <c r="E26" s="712"/>
      <c r="F26" s="712"/>
      <c r="G26" s="712"/>
      <c r="H26" s="712"/>
      <c r="I26" s="712"/>
      <c r="J26" s="712"/>
      <c r="K26" s="712"/>
      <c r="L26" s="712"/>
      <c r="M26" s="712"/>
      <c r="N26" s="712"/>
      <c r="O26" s="712"/>
      <c r="P26" s="712"/>
      <c r="R26" s="10"/>
      <c r="S26" s="10"/>
      <c r="AA26" s="10"/>
      <c r="AB26" s="10"/>
      <c r="AC26" s="10"/>
      <c r="AD26" s="10"/>
      <c r="AE26" s="10"/>
      <c r="AF26" s="10"/>
      <c r="AG26" s="10"/>
    </row>
    <row r="27" spans="2:33" ht="12" customHeight="1" x14ac:dyDescent="0.3">
      <c r="B27" s="57"/>
      <c r="C27" s="57"/>
      <c r="D27" s="57"/>
      <c r="E27" s="57"/>
      <c r="F27" s="57"/>
      <c r="G27" s="57"/>
      <c r="H27" s="57"/>
      <c r="I27" s="57"/>
      <c r="J27" s="57"/>
      <c r="K27" s="57"/>
      <c r="L27" s="57"/>
      <c r="M27" s="57"/>
      <c r="N27" s="57"/>
      <c r="O27" s="57"/>
      <c r="P27" s="57"/>
      <c r="R27" s="10"/>
      <c r="AF27" s="10"/>
      <c r="AG27" s="10"/>
    </row>
    <row r="28" spans="2:33" ht="27.75" customHeight="1" x14ac:dyDescent="0.3">
      <c r="B28" s="947" t="s">
        <v>1938</v>
      </c>
      <c r="C28" s="947"/>
      <c r="D28" s="947"/>
      <c r="E28" s="947"/>
      <c r="F28" s="1418"/>
      <c r="G28" s="1418"/>
      <c r="H28" s="1418"/>
      <c r="I28" s="1418"/>
      <c r="J28" s="1418"/>
      <c r="K28" s="1418"/>
      <c r="L28" s="1418"/>
      <c r="M28" s="1418"/>
      <c r="N28" s="1418"/>
      <c r="O28" s="1418"/>
      <c r="P28" s="1418"/>
      <c r="R28" s="10"/>
      <c r="S28" s="10"/>
      <c r="T28" s="10"/>
      <c r="U28" s="10"/>
      <c r="V28" s="10"/>
      <c r="W28" s="10"/>
      <c r="X28" s="10"/>
      <c r="Y28" s="10"/>
      <c r="Z28" s="10"/>
      <c r="AA28" s="10"/>
      <c r="AB28" s="10"/>
      <c r="AC28" s="10"/>
      <c r="AD28" s="10"/>
      <c r="AE28" s="10"/>
      <c r="AF28" s="10"/>
      <c r="AG28" s="10"/>
    </row>
    <row r="29" spans="2:33" ht="44.25" customHeight="1" x14ac:dyDescent="0.3">
      <c r="B29" s="377" t="s">
        <v>1405</v>
      </c>
      <c r="C29" s="324"/>
      <c r="D29" s="324"/>
      <c r="E29" s="324"/>
      <c r="F29" s="947" t="s">
        <v>1812</v>
      </c>
      <c r="G29" s="947"/>
      <c r="H29" s="947"/>
      <c r="I29" s="947"/>
      <c r="J29" s="925"/>
      <c r="K29" s="925"/>
      <c r="L29" s="925"/>
      <c r="M29" s="925"/>
      <c r="N29" s="925"/>
      <c r="O29" s="925"/>
      <c r="P29" s="925"/>
      <c r="R29" s="925" t="s">
        <v>2242</v>
      </c>
      <c r="S29" s="925"/>
      <c r="T29" s="10"/>
      <c r="U29" s="50" t="s">
        <v>1304</v>
      </c>
      <c r="V29" s="259" t="s">
        <v>2243</v>
      </c>
      <c r="W29" s="50" t="s">
        <v>1305</v>
      </c>
      <c r="X29" s="50" t="s">
        <v>1306</v>
      </c>
      <c r="Y29" s="10"/>
      <c r="Z29" s="10"/>
      <c r="AA29" s="10"/>
      <c r="AB29" s="10"/>
      <c r="AC29" s="10"/>
      <c r="AD29" s="10"/>
      <c r="AE29" s="10"/>
      <c r="AF29" s="10"/>
      <c r="AG29" s="10"/>
    </row>
    <row r="30" spans="2:33" ht="18" customHeight="1" x14ac:dyDescent="0.3">
      <c r="B30" s="259" t="s">
        <v>29</v>
      </c>
      <c r="C30" s="1383">
        <f>IF(L5&lt;S3,"DOI&lt;05",S30)</f>
        <v>0</v>
      </c>
      <c r="D30" s="1383"/>
      <c r="E30" s="1383"/>
      <c r="F30" s="18" t="s">
        <v>1790</v>
      </c>
      <c r="G30" s="1188">
        <v>0.19</v>
      </c>
      <c r="H30" s="1188"/>
      <c r="I30" s="19" t="s">
        <v>1792</v>
      </c>
      <c r="J30" s="1082">
        <f>IF(L5&lt;S3,"DOI&lt;05",IF(AND(C30*G30&gt;0,C30*G30&lt;0.01),0.01,ROUND(C30*G30,2)))</f>
        <v>0</v>
      </c>
      <c r="K30" s="1082"/>
      <c r="L30" s="20"/>
      <c r="M30" s="1396" t="s">
        <v>599</v>
      </c>
      <c r="N30" s="1397"/>
      <c r="O30" s="1137"/>
      <c r="P30" s="914" t="s">
        <v>602</v>
      </c>
      <c r="R30" s="50" t="s">
        <v>289</v>
      </c>
      <c r="S30" s="588">
        <f>IF(I25-C25&lt;0,0,I25-C25)</f>
        <v>0</v>
      </c>
      <c r="T30" s="10"/>
      <c r="U30" s="553">
        <f>MAX(J30,J31)</f>
        <v>0</v>
      </c>
      <c r="V30" s="553">
        <f>IF(AND(U30&gt;0,U30&lt;0.01),0.01,U30)</f>
        <v>0</v>
      </c>
      <c r="W30" s="571">
        <f>V30+V31*(1-V30)</f>
        <v>0</v>
      </c>
      <c r="X30" s="571">
        <f>ROUND(W30,2)</f>
        <v>0</v>
      </c>
      <c r="Y30" s="10"/>
      <c r="Z30" s="10"/>
      <c r="AA30" s="10"/>
      <c r="AB30" s="10"/>
      <c r="AC30" s="10"/>
      <c r="AD30" s="10"/>
      <c r="AE30" s="10"/>
      <c r="AF30" s="10"/>
      <c r="AG30" s="10"/>
    </row>
    <row r="31" spans="2:33" ht="18" customHeight="1" x14ac:dyDescent="0.3">
      <c r="B31" s="277" t="s">
        <v>30</v>
      </c>
      <c r="C31" s="1384">
        <f>IF(L5&lt;S3,"DOI&lt;05",S31)</f>
        <v>0</v>
      </c>
      <c r="D31" s="1385"/>
      <c r="E31" s="1386"/>
      <c r="F31" s="18" t="s">
        <v>1790</v>
      </c>
      <c r="G31" s="1188">
        <v>0.19</v>
      </c>
      <c r="H31" s="1188"/>
      <c r="I31" s="218" t="s">
        <v>1792</v>
      </c>
      <c r="J31" s="753">
        <f>IF(L5&lt;S3,"DOI&lt;05",IF(AND(C31*G31&gt;0,C31*G31&lt;0.01),0.01,ROUND(C31*G31,2)))</f>
        <v>0</v>
      </c>
      <c r="K31" s="755"/>
      <c r="L31" s="18"/>
      <c r="M31" s="1398"/>
      <c r="N31" s="1399"/>
      <c r="O31" s="927"/>
      <c r="P31" s="947"/>
      <c r="R31" s="50" t="s">
        <v>293</v>
      </c>
      <c r="S31" s="588">
        <f>IF(L25-F25&lt;0,0,L25-F25)</f>
        <v>0</v>
      </c>
      <c r="T31" s="10"/>
      <c r="U31" s="553">
        <f>MIN(J30,J31)</f>
        <v>0</v>
      </c>
      <c r="V31" s="553">
        <f>IF(AND(U31&gt;0,U31&lt;0.01),0.01,U31)</f>
        <v>0</v>
      </c>
      <c r="X31" s="10"/>
      <c r="Y31" s="10"/>
      <c r="Z31" s="10"/>
      <c r="AA31" s="10"/>
      <c r="AB31" s="10"/>
      <c r="AC31" s="10"/>
      <c r="AD31" s="10"/>
      <c r="AE31" s="10"/>
      <c r="AF31" s="10"/>
      <c r="AG31" s="10"/>
    </row>
    <row r="32" spans="2:33" ht="18" customHeight="1" x14ac:dyDescent="0.3">
      <c r="B32" s="1401" t="str">
        <f>IF(AND(C30&gt;0,C31&gt;0),"Monaural total (combined):","Monaural total:")</f>
        <v>Monaural total:</v>
      </c>
      <c r="C32" s="1402"/>
      <c r="D32" s="1402"/>
      <c r="E32" s="1402"/>
      <c r="F32" s="1402"/>
      <c r="G32" s="1402"/>
      <c r="H32" s="1403"/>
      <c r="I32" s="218" t="s">
        <v>1792</v>
      </c>
      <c r="J32" s="1188">
        <f>IF(L5&lt;S3,"DOI&lt;05",IF(OR(J30=0,J31=0),J30+J31,X30))</f>
        <v>0</v>
      </c>
      <c r="K32" s="1188"/>
      <c r="L32" s="18" t="s">
        <v>1790</v>
      </c>
      <c r="M32" s="814">
        <f>SAWW!D6</f>
        <v>0</v>
      </c>
      <c r="N32" s="1400"/>
      <c r="O32" s="19" t="s">
        <v>603</v>
      </c>
      <c r="P32" s="279">
        <f>IF(L5&lt;S3,"DOI&lt;05",ROUND(J32*M32*100,2))</f>
        <v>0</v>
      </c>
      <c r="R32" s="10"/>
      <c r="S32" s="10"/>
      <c r="T32" s="10"/>
      <c r="U32" s="10"/>
      <c r="V32" s="10"/>
      <c r="W32" s="10"/>
      <c r="X32" s="10"/>
      <c r="Y32" s="10"/>
      <c r="Z32" s="10"/>
      <c r="AA32" s="10"/>
      <c r="AB32" s="10"/>
      <c r="AC32" s="10"/>
      <c r="AD32" s="10"/>
      <c r="AE32" s="10"/>
      <c r="AF32" s="10"/>
      <c r="AG32" s="10"/>
    </row>
    <row r="33" spans="2:33" ht="14.25" customHeight="1" x14ac:dyDescent="0.3">
      <c r="B33" s="404"/>
      <c r="C33" s="405"/>
      <c r="D33" s="405"/>
      <c r="E33" s="405"/>
      <c r="F33" s="405"/>
      <c r="G33" s="405"/>
      <c r="H33" s="405"/>
      <c r="I33" s="405"/>
      <c r="J33" s="405"/>
      <c r="K33" s="405"/>
      <c r="L33" s="405"/>
      <c r="M33" s="405"/>
      <c r="N33" s="405"/>
      <c r="O33" s="405"/>
      <c r="P33" s="406"/>
      <c r="R33" s="10"/>
      <c r="S33" s="96"/>
      <c r="T33" s="10"/>
      <c r="U33" s="10"/>
      <c r="V33" s="10"/>
      <c r="W33" s="10"/>
      <c r="X33" s="10"/>
      <c r="Y33" s="10"/>
      <c r="Z33" s="10"/>
      <c r="AA33" s="10"/>
      <c r="AB33" s="10"/>
      <c r="AC33" s="10"/>
      <c r="AD33" s="10"/>
      <c r="AE33" s="10"/>
      <c r="AF33" s="10"/>
      <c r="AG33" s="10"/>
    </row>
    <row r="34" spans="2:33" ht="21" customHeight="1" x14ac:dyDescent="0.3">
      <c r="B34" s="951" t="s">
        <v>483</v>
      </c>
      <c r="C34" s="951"/>
      <c r="D34" s="951"/>
      <c r="E34" s="951"/>
      <c r="F34" s="951"/>
      <c r="G34" s="951"/>
      <c r="H34" s="951"/>
      <c r="I34" s="951"/>
      <c r="J34" s="951"/>
      <c r="K34" s="951"/>
      <c r="L34" s="951"/>
      <c r="M34" s="951"/>
      <c r="N34" s="951"/>
      <c r="O34" s="951"/>
      <c r="P34" s="951"/>
      <c r="R34" s="10"/>
      <c r="S34" s="214">
        <f>MAX(I39,J32)</f>
        <v>0</v>
      </c>
      <c r="T34" s="10"/>
      <c r="U34" s="10"/>
      <c r="V34" s="10"/>
      <c r="W34" s="10"/>
      <c r="X34" s="10"/>
      <c r="Y34" s="10"/>
      <c r="Z34" s="10"/>
      <c r="AA34" s="10"/>
      <c r="AB34" s="10"/>
      <c r="AC34" s="10"/>
      <c r="AD34" s="10"/>
      <c r="AE34" s="10"/>
      <c r="AF34" s="10"/>
      <c r="AG34" s="10"/>
    </row>
    <row r="35" spans="2:33" ht="18" customHeight="1" x14ac:dyDescent="0.3">
      <c r="B35" s="1388" t="s">
        <v>477</v>
      </c>
      <c r="C35" s="1388"/>
      <c r="D35" s="1388"/>
      <c r="E35" s="1388"/>
      <c r="F35" s="1388"/>
      <c r="G35" s="1388"/>
      <c r="H35" s="1388"/>
      <c r="I35" s="1383">
        <f>IF(L5&lt;S3,"DOI&lt;05",MIN(S30,S31))</f>
        <v>0</v>
      </c>
      <c r="J35" s="1383"/>
      <c r="K35" s="1383"/>
      <c r="L35" s="19" t="s">
        <v>1790</v>
      </c>
      <c r="M35" s="1379">
        <v>7</v>
      </c>
      <c r="N35" s="1379"/>
      <c r="O35" s="19" t="s">
        <v>1792</v>
      </c>
      <c r="P35" s="191">
        <f>IF(L5&lt;S3,"DOI&lt;05",IF(I35=0,0,I35*M35))</f>
        <v>0</v>
      </c>
      <c r="R35" s="50">
        <f>IF(AND(S35=1,C30&gt;0),"Right",IF(AND(S35=1,C31&gt;0),"Left",0))</f>
        <v>0</v>
      </c>
      <c r="S35" s="595">
        <f>IF(AND(C30=0,C31=0),0,IF(OR(C30=0,C31=0),1,IF(AND(C30&gt;0,C31&gt;0,J32&gt;I39),2,3)))</f>
        <v>0</v>
      </c>
      <c r="T35" s="10"/>
      <c r="U35" s="10"/>
      <c r="V35" s="10"/>
      <c r="W35" s="10"/>
      <c r="X35" s="10"/>
      <c r="Y35" s="10"/>
      <c r="Z35" s="10"/>
      <c r="AA35" s="10"/>
      <c r="AB35" s="10"/>
      <c r="AC35" s="10"/>
      <c r="AD35" s="10"/>
      <c r="AE35" s="10"/>
      <c r="AF35" s="10"/>
      <c r="AG35" s="10"/>
    </row>
    <row r="36" spans="2:33" ht="18" customHeight="1" x14ac:dyDescent="0.3">
      <c r="B36" s="776" t="s">
        <v>478</v>
      </c>
      <c r="C36" s="776"/>
      <c r="D36" s="776"/>
      <c r="E36" s="776"/>
      <c r="F36" s="776"/>
      <c r="G36" s="776"/>
      <c r="H36" s="776"/>
      <c r="I36" s="1383">
        <f>IF(L5&lt;S3,"DOI&lt;05",IF(I35=0,0,MAX(S30,S31)))</f>
        <v>0</v>
      </c>
      <c r="J36" s="1383"/>
      <c r="K36" s="1383"/>
      <c r="L36" s="925"/>
      <c r="M36" s="925"/>
      <c r="N36" s="925"/>
      <c r="O36" s="19" t="s">
        <v>1792</v>
      </c>
      <c r="P36" s="191">
        <f>IF(L5&lt;S3,"DOI&lt;05",P35+I36)</f>
        <v>0</v>
      </c>
      <c r="R36" s="10"/>
      <c r="S36" s="806" t="s">
        <v>600</v>
      </c>
      <c r="T36" s="806"/>
      <c r="U36" s="806"/>
      <c r="V36" s="806"/>
      <c r="W36" s="806"/>
      <c r="X36" s="10"/>
      <c r="Y36" s="10"/>
      <c r="Z36" s="10"/>
      <c r="AA36" s="10"/>
      <c r="AB36" s="10"/>
      <c r="AC36" s="10"/>
      <c r="AD36" s="10"/>
      <c r="AE36" s="10"/>
      <c r="AF36" s="10"/>
      <c r="AG36" s="10"/>
    </row>
    <row r="37" spans="2:33" ht="18" customHeight="1" x14ac:dyDescent="0.3">
      <c r="B37" s="776" t="s">
        <v>479</v>
      </c>
      <c r="C37" s="776"/>
      <c r="D37" s="776"/>
      <c r="E37" s="776"/>
      <c r="F37" s="776"/>
      <c r="G37" s="776"/>
      <c r="H37" s="776"/>
      <c r="I37" s="1383">
        <f>P36</f>
        <v>0</v>
      </c>
      <c r="J37" s="1383"/>
      <c r="K37" s="1383"/>
      <c r="L37" s="19" t="s">
        <v>481</v>
      </c>
      <c r="M37" s="1379">
        <v>8</v>
      </c>
      <c r="N37" s="1379"/>
      <c r="O37" s="19" t="s">
        <v>1792</v>
      </c>
      <c r="P37" s="191">
        <f>IF(L5&lt;S3,"DOI&lt;05",IF(I35=0,0,P36/M37))</f>
        <v>0</v>
      </c>
      <c r="R37" s="10"/>
      <c r="S37" s="806" t="s">
        <v>601</v>
      </c>
      <c r="T37" s="806"/>
      <c r="U37" s="806"/>
      <c r="V37" s="806"/>
      <c r="W37" s="806"/>
      <c r="X37" s="10"/>
      <c r="Y37" s="10"/>
      <c r="Z37" s="10"/>
      <c r="AA37" s="10"/>
      <c r="AB37" s="10"/>
      <c r="AC37" s="10"/>
      <c r="AD37" s="10"/>
      <c r="AE37" s="10"/>
      <c r="AF37" s="10"/>
      <c r="AG37" s="10"/>
    </row>
    <row r="38" spans="2:33" ht="28.5" customHeight="1" x14ac:dyDescent="0.3">
      <c r="B38" s="776" t="s">
        <v>480</v>
      </c>
      <c r="C38" s="776"/>
      <c r="D38" s="776"/>
      <c r="E38" s="776"/>
      <c r="F38" s="776"/>
      <c r="G38" s="776"/>
      <c r="H38" s="776"/>
      <c r="I38" s="1383">
        <f>P37</f>
        <v>0</v>
      </c>
      <c r="J38" s="1383"/>
      <c r="K38" s="1383"/>
      <c r="L38" s="19" t="s">
        <v>1790</v>
      </c>
      <c r="M38" s="1188">
        <v>0.6</v>
      </c>
      <c r="N38" s="1188"/>
      <c r="O38" s="19" t="s">
        <v>1792</v>
      </c>
      <c r="P38" s="21">
        <f>IF(L5&lt;S3,"DOI&lt;05",IF(I35=0,0,IF(AND(I38*M38&gt;0,I38*M38&lt;0.01),0.01,ROUND(I38*M38,2))))</f>
        <v>0</v>
      </c>
      <c r="R38" s="10"/>
      <c r="S38" s="386">
        <f>IF(P32="DOI&lt;05",0,IF(P32=0,0,IF(P32&gt;P39,1,2)))</f>
        <v>0</v>
      </c>
      <c r="U38" s="10"/>
      <c r="V38" s="10"/>
      <c r="W38" s="10"/>
      <c r="X38" s="10"/>
      <c r="Y38" s="10"/>
      <c r="Z38" s="10"/>
      <c r="AA38" s="10"/>
      <c r="AB38" s="10"/>
      <c r="AC38" s="10"/>
      <c r="AD38" s="10"/>
      <c r="AE38" s="10"/>
      <c r="AF38" s="10"/>
      <c r="AG38" s="10"/>
    </row>
    <row r="39" spans="2:33" ht="27" customHeight="1" x14ac:dyDescent="0.3">
      <c r="B39" s="776" t="s">
        <v>1090</v>
      </c>
      <c r="C39" s="776"/>
      <c r="D39" s="776"/>
      <c r="E39" s="776"/>
      <c r="F39" s="776"/>
      <c r="G39" s="776"/>
      <c r="H39" s="776"/>
      <c r="I39" s="936">
        <f>P38</f>
        <v>0</v>
      </c>
      <c r="J39" s="936"/>
      <c r="K39" s="936"/>
      <c r="L39" s="19" t="s">
        <v>1790</v>
      </c>
      <c r="M39" s="813">
        <f>SAWW!D6</f>
        <v>0</v>
      </c>
      <c r="N39" s="813"/>
      <c r="O39" s="19" t="s">
        <v>482</v>
      </c>
      <c r="P39" s="279">
        <f>IF(L5&lt;S3,"DOI&lt;05",ROUND(I39*M39*100,2))</f>
        <v>0</v>
      </c>
      <c r="R39" s="10"/>
      <c r="S39" s="10"/>
      <c r="U39" s="10"/>
      <c r="V39" s="10"/>
      <c r="W39" s="10"/>
      <c r="X39" s="10"/>
      <c r="Y39" s="10"/>
      <c r="Z39" s="10"/>
      <c r="AA39" s="10"/>
      <c r="AB39" s="10"/>
      <c r="AC39" s="10"/>
      <c r="AD39" s="10"/>
      <c r="AE39" s="10"/>
      <c r="AF39" s="10"/>
      <c r="AG39" s="10"/>
    </row>
    <row r="40" spans="2:33" ht="21.75" customHeight="1" x14ac:dyDescent="0.3">
      <c r="B40" s="1387" t="str">
        <f>IF(OR(L5&lt;S3,I35=0),"",IF(S38=1,S36,IF(S38=2,S37,"")))</f>
        <v/>
      </c>
      <c r="C40" s="1387"/>
      <c r="D40" s="1387"/>
      <c r="E40" s="1387"/>
      <c r="F40" s="1387"/>
      <c r="G40" s="1387"/>
      <c r="H40" s="1387"/>
      <c r="I40" s="1387"/>
      <c r="J40" s="1387"/>
      <c r="K40" s="1387"/>
      <c r="L40" s="1387"/>
      <c r="M40" s="1387"/>
      <c r="N40" s="1387"/>
      <c r="O40" s="1387"/>
      <c r="P40" s="279">
        <f>IF(L5&lt;S3,"DOI&lt;05",IF(I35=0,0,MAX(P32,P39)))</f>
        <v>0</v>
      </c>
      <c r="R40" s="10"/>
      <c r="S40" s="10"/>
      <c r="U40" s="10"/>
      <c r="V40" s="10"/>
      <c r="W40" s="10"/>
      <c r="X40" s="10"/>
      <c r="Y40" s="10"/>
      <c r="Z40" s="10"/>
      <c r="AA40" s="10"/>
      <c r="AB40" s="10"/>
      <c r="AC40" s="10"/>
      <c r="AD40" s="10"/>
      <c r="AE40" s="10"/>
      <c r="AF40" s="10"/>
      <c r="AG40" s="10"/>
    </row>
    <row r="41" spans="2:33" x14ac:dyDescent="0.3">
      <c r="C41" s="1"/>
      <c r="D41" s="1"/>
      <c r="E41" s="1"/>
      <c r="F41" s="1"/>
      <c r="G41" s="1"/>
      <c r="R41" s="10"/>
      <c r="S41" s="10"/>
      <c r="T41" s="10"/>
      <c r="U41" s="10"/>
      <c r="V41" s="10"/>
      <c r="W41" s="10"/>
      <c r="X41" s="10"/>
      <c r="Y41" s="10"/>
      <c r="Z41" s="10"/>
      <c r="AA41" s="10"/>
      <c r="AB41" s="10"/>
      <c r="AC41" s="10"/>
      <c r="AD41" s="10"/>
      <c r="AE41" s="10"/>
      <c r="AF41" s="10"/>
      <c r="AG41" s="10"/>
    </row>
    <row r="42" spans="2:33" ht="30" customHeight="1" x14ac:dyDescent="0.3">
      <c r="B42" s="947" t="s">
        <v>2148</v>
      </c>
      <c r="C42" s="947"/>
      <c r="D42" s="947"/>
      <c r="E42" s="947"/>
      <c r="F42" s="947"/>
      <c r="G42" s="947"/>
      <c r="H42" s="947"/>
      <c r="I42" s="947"/>
      <c r="J42" s="947"/>
      <c r="K42" s="947"/>
      <c r="L42" s="947"/>
      <c r="M42" s="947"/>
      <c r="N42" s="947"/>
      <c r="O42" s="947"/>
      <c r="P42" s="947"/>
      <c r="R42" s="10"/>
      <c r="S42" s="10"/>
      <c r="T42" s="10"/>
      <c r="U42" s="10"/>
      <c r="V42" s="10"/>
      <c r="W42" s="10"/>
      <c r="X42" s="10"/>
      <c r="Y42" s="10"/>
      <c r="Z42" s="10"/>
      <c r="AA42" s="10"/>
      <c r="AB42" s="10"/>
      <c r="AC42" s="10"/>
      <c r="AD42" s="10"/>
      <c r="AE42" s="10"/>
      <c r="AF42" s="10"/>
      <c r="AG42" s="10"/>
    </row>
    <row r="43" spans="2:33" ht="26.25" customHeight="1" x14ac:dyDescent="0.3">
      <c r="B43" s="951" t="s">
        <v>1405</v>
      </c>
      <c r="C43" s="951"/>
      <c r="D43" s="951"/>
      <c r="E43" s="951"/>
      <c r="F43" s="951"/>
      <c r="G43" s="947" t="s">
        <v>104</v>
      </c>
      <c r="H43" s="947"/>
      <c r="I43" s="170"/>
      <c r="J43" s="878" t="s">
        <v>365</v>
      </c>
      <c r="K43" s="878"/>
      <c r="L43" s="407"/>
      <c r="M43" s="1143" t="s">
        <v>1889</v>
      </c>
      <c r="N43" s="1143"/>
      <c r="O43" s="320"/>
      <c r="P43" s="320" t="s">
        <v>1191</v>
      </c>
      <c r="R43" s="10"/>
      <c r="S43" s="10"/>
      <c r="T43" s="10"/>
      <c r="U43" s="10"/>
      <c r="V43" s="10"/>
      <c r="W43" s="10"/>
      <c r="X43" s="10"/>
      <c r="Y43" s="10"/>
      <c r="Z43" s="10"/>
      <c r="AA43" s="10"/>
      <c r="AB43" s="10"/>
      <c r="AC43" s="10"/>
      <c r="AD43" s="10"/>
      <c r="AE43" s="10"/>
      <c r="AF43" s="10"/>
      <c r="AG43" s="10"/>
    </row>
    <row r="44" spans="2:33" ht="18" customHeight="1" x14ac:dyDescent="0.3">
      <c r="B44" s="259" t="s">
        <v>29</v>
      </c>
      <c r="C44" s="1391">
        <f>IF(L5="",0,IF(L5&gt;=S3,"DOI&gt;04",IF(AND(S30&gt;0,S30&lt;0.01),0.01,ROUND(S30,2))))</f>
        <v>0</v>
      </c>
      <c r="D44" s="1391"/>
      <c r="E44" s="1391"/>
      <c r="F44" s="18" t="s">
        <v>1790</v>
      </c>
      <c r="G44" s="746">
        <v>60</v>
      </c>
      <c r="H44" s="746"/>
      <c r="I44" s="19" t="s">
        <v>1792</v>
      </c>
      <c r="J44" s="860">
        <f>IF(L5="",0,IF(L5&gt;=S3,"DOI&gt;04",ROUND(C44*G44,2)))</f>
        <v>0</v>
      </c>
      <c r="K44" s="860"/>
      <c r="L44" s="18" t="s">
        <v>1790</v>
      </c>
      <c r="M44" s="1389" t="e">
        <f>'Dol Per Deg'!$H$11</f>
        <v>#N/A</v>
      </c>
      <c r="N44" s="1389"/>
      <c r="O44" s="19" t="s">
        <v>1792</v>
      </c>
      <c r="P44" s="156">
        <f>IF(L5="",0,IF(L5&gt;=S3,"DOI&gt;04",ROUND(J44*M44,2)))</f>
        <v>0</v>
      </c>
      <c r="R44" s="10"/>
      <c r="S44" s="10"/>
      <c r="T44" s="10"/>
      <c r="U44" s="96"/>
      <c r="V44" s="96"/>
      <c r="W44" s="142"/>
      <c r="X44" s="10"/>
      <c r="Y44" s="10"/>
      <c r="Z44" s="10"/>
      <c r="AA44" s="10"/>
      <c r="AB44" s="10"/>
      <c r="AC44" s="10"/>
      <c r="AD44" s="10"/>
      <c r="AE44" s="10"/>
      <c r="AF44" s="10"/>
      <c r="AG44" s="10"/>
    </row>
    <row r="45" spans="2:33" ht="18" customHeight="1" x14ac:dyDescent="0.3">
      <c r="B45" s="259" t="s">
        <v>30</v>
      </c>
      <c r="C45" s="1391">
        <f>IF(L5="",0,IF(L5&gt;=S3,"DOI&gt;04",IF(AND(S31&gt;0,S31&lt;0.01),0.01,ROUND(S31,2))))</f>
        <v>0</v>
      </c>
      <c r="D45" s="1391"/>
      <c r="E45" s="1391"/>
      <c r="F45" s="18" t="s">
        <v>1790</v>
      </c>
      <c r="G45" s="746">
        <v>60</v>
      </c>
      <c r="H45" s="746"/>
      <c r="I45" s="19" t="s">
        <v>1792</v>
      </c>
      <c r="J45" s="860">
        <f>IF(L5="",0,IF(L5&gt;=S3,"DOI&gt;04",ROUND(C45*G45,2)))</f>
        <v>0</v>
      </c>
      <c r="K45" s="860"/>
      <c r="L45" s="18" t="s">
        <v>1790</v>
      </c>
      <c r="M45" s="1389" t="e">
        <f>'Dol Per Deg'!$H$11</f>
        <v>#N/A</v>
      </c>
      <c r="N45" s="1389"/>
      <c r="O45" s="19" t="s">
        <v>1792</v>
      </c>
      <c r="P45" s="156">
        <f>IF(L5="",0,IF(L5&gt;=S3,"DOI&gt;04",ROUND(J45*M45,2)))</f>
        <v>0</v>
      </c>
      <c r="R45" s="10"/>
      <c r="S45" s="10"/>
      <c r="T45" s="10"/>
      <c r="U45" s="96"/>
      <c r="V45" s="96"/>
      <c r="W45" s="142"/>
      <c r="X45" s="10"/>
      <c r="Y45" s="10"/>
      <c r="Z45" s="10"/>
      <c r="AA45" s="10"/>
      <c r="AB45" s="10"/>
      <c r="AC45" s="10"/>
      <c r="AD45" s="10"/>
      <c r="AE45" s="10"/>
      <c r="AF45" s="10"/>
      <c r="AG45" s="10"/>
    </row>
    <row r="46" spans="2:33" ht="18" customHeight="1" x14ac:dyDescent="0.3">
      <c r="B46" s="1387" t="s">
        <v>1406</v>
      </c>
      <c r="C46" s="1387"/>
      <c r="D46" s="1387"/>
      <c r="E46" s="1387"/>
      <c r="F46" s="1387"/>
      <c r="G46" s="1387"/>
      <c r="H46" s="1387"/>
      <c r="I46" s="1387"/>
      <c r="J46" s="1387"/>
      <c r="K46" s="1387"/>
      <c r="L46" s="1387"/>
      <c r="M46" s="1387"/>
      <c r="N46" s="1387"/>
      <c r="O46" s="1387"/>
      <c r="P46" s="279">
        <f>IF(L5="",0,IF(L5&gt;=S3,"DOI&gt;04",P44+P45))</f>
        <v>0</v>
      </c>
      <c r="R46" s="10"/>
      <c r="S46" s="10"/>
      <c r="T46" s="10"/>
      <c r="U46" s="10"/>
      <c r="V46" s="10"/>
      <c r="W46" s="10"/>
      <c r="X46" s="10"/>
      <c r="Y46" s="10"/>
      <c r="Z46" s="10"/>
      <c r="AA46" s="10"/>
      <c r="AB46" s="10"/>
      <c r="AC46" s="10"/>
      <c r="AD46" s="10"/>
      <c r="AE46" s="10"/>
      <c r="AF46" s="10"/>
      <c r="AG46" s="10"/>
    </row>
    <row r="47" spans="2:33" ht="21" customHeight="1" x14ac:dyDescent="0.3">
      <c r="B47" s="1030" t="s">
        <v>483</v>
      </c>
      <c r="C47" s="1031"/>
      <c r="D47" s="1031"/>
      <c r="E47" s="1031"/>
      <c r="F47" s="1031"/>
      <c r="G47" s="1031"/>
      <c r="H47" s="1031"/>
      <c r="I47" s="1031"/>
      <c r="J47" s="1031"/>
      <c r="K47" s="1031"/>
      <c r="L47" s="1031"/>
      <c r="M47" s="1031"/>
      <c r="N47" s="1031"/>
      <c r="O47" s="1031"/>
      <c r="P47" s="1032"/>
      <c r="R47" s="10"/>
      <c r="S47" s="96"/>
      <c r="T47" s="10"/>
      <c r="U47" s="10"/>
      <c r="V47" s="10"/>
      <c r="W47" s="10"/>
      <c r="X47" s="10"/>
      <c r="Y47" s="10"/>
      <c r="Z47" s="10"/>
      <c r="AA47" s="10"/>
      <c r="AB47" s="10"/>
      <c r="AC47" s="10"/>
      <c r="AD47" s="10"/>
      <c r="AE47" s="10"/>
      <c r="AF47" s="10"/>
      <c r="AG47" s="10"/>
    </row>
    <row r="48" spans="2:33" ht="18" customHeight="1" x14ac:dyDescent="0.3">
      <c r="B48" s="1388" t="s">
        <v>477</v>
      </c>
      <c r="C48" s="1388"/>
      <c r="D48" s="1388"/>
      <c r="E48" s="1388"/>
      <c r="F48" s="1388"/>
      <c r="G48" s="1388"/>
      <c r="H48" s="1388"/>
      <c r="I48" s="1383">
        <f>IF(L5="",0,IF(L5&gt;=S3,"DOI&gt;04",MIN(S30,S31)))</f>
        <v>0</v>
      </c>
      <c r="J48" s="1383"/>
      <c r="K48" s="1383"/>
      <c r="L48" s="19" t="s">
        <v>1790</v>
      </c>
      <c r="M48" s="1379">
        <v>7</v>
      </c>
      <c r="N48" s="1379"/>
      <c r="O48" s="19" t="s">
        <v>1792</v>
      </c>
      <c r="P48" s="191">
        <f>IF(L5="",0,IF(L5&gt;=S3,"DOI&gt;04",I48*M48))</f>
        <v>0</v>
      </c>
      <c r="R48" s="10"/>
      <c r="S48" s="10"/>
      <c r="T48" s="10"/>
      <c r="U48" s="10"/>
      <c r="V48" s="10"/>
      <c r="W48" s="10"/>
      <c r="X48" s="10"/>
      <c r="Y48" s="10"/>
      <c r="Z48" s="10"/>
      <c r="AA48" s="10"/>
      <c r="AB48" s="10"/>
      <c r="AC48" s="10"/>
      <c r="AD48" s="10"/>
      <c r="AE48" s="10"/>
      <c r="AF48" s="10"/>
      <c r="AG48" s="10"/>
    </row>
    <row r="49" spans="2:102" ht="18" customHeight="1" x14ac:dyDescent="0.3">
      <c r="B49" s="776" t="s">
        <v>478</v>
      </c>
      <c r="C49" s="776"/>
      <c r="D49" s="776"/>
      <c r="E49" s="776"/>
      <c r="F49" s="776"/>
      <c r="G49" s="776"/>
      <c r="H49" s="776"/>
      <c r="I49" s="1383">
        <f>IF(L5="",0,IF(L5&gt;=S3,"DOI&gt;04",IF(I48=0,0,MAX(S30,S31))))</f>
        <v>0</v>
      </c>
      <c r="J49" s="1383"/>
      <c r="K49" s="1383"/>
      <c r="L49" s="925"/>
      <c r="M49" s="925"/>
      <c r="N49" s="925"/>
      <c r="O49" s="19" t="s">
        <v>1792</v>
      </c>
      <c r="P49" s="191">
        <f>IF(L5="",0,IF(L5&gt;=S3,"DOI&gt;04",P48+I49))</f>
        <v>0</v>
      </c>
      <c r="R49" s="10"/>
      <c r="S49" s="10"/>
      <c r="T49" s="10"/>
      <c r="U49" s="10"/>
      <c r="V49" s="10"/>
      <c r="W49" s="10"/>
      <c r="X49" s="10"/>
      <c r="Y49" s="10"/>
      <c r="Z49" s="10"/>
      <c r="AA49" s="10"/>
      <c r="AB49" s="10"/>
      <c r="AC49" s="10"/>
      <c r="AD49" s="10"/>
      <c r="AE49" s="10"/>
      <c r="AF49" s="10"/>
      <c r="AG49" s="10"/>
    </row>
    <row r="50" spans="2:102" ht="18" customHeight="1" x14ac:dyDescent="0.3">
      <c r="B50" s="776" t="s">
        <v>479</v>
      </c>
      <c r="C50" s="776"/>
      <c r="D50" s="776"/>
      <c r="E50" s="776"/>
      <c r="F50" s="776"/>
      <c r="G50" s="776"/>
      <c r="H50" s="776"/>
      <c r="I50" s="1383">
        <f>P49</f>
        <v>0</v>
      </c>
      <c r="J50" s="1383"/>
      <c r="K50" s="1383"/>
      <c r="L50" s="19" t="s">
        <v>481</v>
      </c>
      <c r="M50" s="1379">
        <v>8</v>
      </c>
      <c r="N50" s="1379"/>
      <c r="O50" s="19" t="s">
        <v>1792</v>
      </c>
      <c r="P50" s="21">
        <f>IF(L5="",0,IF(L5&gt;=S3,"DOI&gt;04",IF(AND(P49/M50&gt;0,P49/M50&lt;0.01),0.01,ROUND(P49/M50,2))))</f>
        <v>0</v>
      </c>
      <c r="R50" s="10"/>
      <c r="S50" s="50">
        <f>IF(OR(C44="DOI&gt;04",C45="DOI&gt;04"),0,IF(B53=S37,4,IF(B53=S36,3,IF(C44&gt;0,2,IF(C45&gt;0,1,0)))))</f>
        <v>0</v>
      </c>
      <c r="U50" s="10"/>
      <c r="V50" s="10"/>
      <c r="W50" s="10"/>
      <c r="X50" s="10"/>
      <c r="Y50" s="10"/>
      <c r="Z50" s="10"/>
      <c r="AA50" s="10"/>
      <c r="AB50" s="10"/>
      <c r="AC50" s="10"/>
      <c r="AD50" s="10"/>
      <c r="AE50" s="10"/>
      <c r="AF50" s="10"/>
      <c r="AG50" s="10"/>
    </row>
    <row r="51" spans="2:102" ht="24.75" customHeight="1" x14ac:dyDescent="0.3">
      <c r="B51" s="922"/>
      <c r="C51" s="926"/>
      <c r="D51" s="926"/>
      <c r="E51" s="926"/>
      <c r="F51" s="923"/>
      <c r="G51" s="947" t="s">
        <v>104</v>
      </c>
      <c r="H51" s="947"/>
      <c r="I51" s="219"/>
      <c r="J51" s="878" t="s">
        <v>365</v>
      </c>
      <c r="K51" s="878"/>
      <c r="L51" s="19"/>
      <c r="M51" s="1143" t="s">
        <v>1889</v>
      </c>
      <c r="N51" s="1143"/>
      <c r="O51" s="19"/>
      <c r="P51" s="192"/>
      <c r="R51" s="10"/>
      <c r="S51" s="10"/>
      <c r="T51" s="10"/>
      <c r="U51" s="10"/>
      <c r="V51" s="10"/>
      <c r="W51" s="10"/>
      <c r="X51" s="10"/>
      <c r="Y51" s="10"/>
      <c r="Z51" s="10"/>
      <c r="AA51" s="10"/>
      <c r="AB51" s="10"/>
      <c r="AC51" s="10"/>
      <c r="AD51" s="10"/>
      <c r="AE51" s="10"/>
      <c r="AF51" s="10"/>
      <c r="AG51" s="10"/>
    </row>
    <row r="52" spans="2:102" ht="18" customHeight="1" x14ac:dyDescent="0.3">
      <c r="B52" s="290" t="s">
        <v>484</v>
      </c>
      <c r="C52" s="1391">
        <f>P50</f>
        <v>0</v>
      </c>
      <c r="D52" s="1391"/>
      <c r="E52" s="1391"/>
      <c r="F52" s="18" t="s">
        <v>1790</v>
      </c>
      <c r="G52" s="746">
        <v>192</v>
      </c>
      <c r="H52" s="746"/>
      <c r="I52" s="18" t="s">
        <v>1792</v>
      </c>
      <c r="J52" s="860">
        <f>IF(L5="",0,IF(L5&gt;=S3,"DOI&gt;04",ROUND(C52*G52,2)))</f>
        <v>0</v>
      </c>
      <c r="K52" s="860"/>
      <c r="L52" s="18" t="s">
        <v>1790</v>
      </c>
      <c r="M52" s="1389" t="e">
        <f>'Dol Per Deg'!$H$11</f>
        <v>#N/A</v>
      </c>
      <c r="N52" s="1389"/>
      <c r="O52" s="19" t="s">
        <v>1792</v>
      </c>
      <c r="P52" s="279">
        <f>IF(L5="",0,IF(L5&gt;=S3,"DOI&gt;04",ROUND(J52*M52,2)))</f>
        <v>0</v>
      </c>
      <c r="R52" s="10"/>
      <c r="S52" s="10"/>
      <c r="T52" s="10"/>
      <c r="U52" s="96"/>
      <c r="V52" s="96"/>
      <c r="W52" s="142"/>
      <c r="X52" s="10"/>
      <c r="Y52" s="10"/>
      <c r="Z52" s="10"/>
      <c r="AA52" s="10"/>
      <c r="AB52" s="10"/>
      <c r="AC52" s="10"/>
      <c r="AD52" s="10"/>
      <c r="AE52" s="10"/>
      <c r="AF52" s="10"/>
      <c r="AG52" s="10"/>
    </row>
    <row r="53" spans="2:102" ht="18.75" customHeight="1" x14ac:dyDescent="0.3">
      <c r="B53" s="1390" t="str">
        <f>IF(OR(P53="DOI&gt;04",P53=0,C44=0,C45=0),"",IF(P46&gt;P52,S36,IF(P52&gt;=P46,S37,"")))</f>
        <v/>
      </c>
      <c r="C53" s="1390"/>
      <c r="D53" s="1390"/>
      <c r="E53" s="1390"/>
      <c r="F53" s="1390"/>
      <c r="G53" s="1390"/>
      <c r="H53" s="1390"/>
      <c r="I53" s="1390"/>
      <c r="J53" s="1390"/>
      <c r="K53" s="1390"/>
      <c r="L53" s="1390"/>
      <c r="M53" s="1390"/>
      <c r="N53" s="1390"/>
      <c r="O53" s="1390"/>
      <c r="P53" s="291">
        <f>IF(L5="",0,IF(L5&gt;=S3,"DOI&gt;04",MAX(P46,P52)))</f>
        <v>0</v>
      </c>
      <c r="R53" s="10"/>
      <c r="S53" s="10"/>
      <c r="T53" s="10"/>
      <c r="U53" s="10"/>
      <c r="V53" s="10"/>
      <c r="W53" s="10"/>
      <c r="X53" s="10"/>
      <c r="Y53" s="10"/>
      <c r="Z53" s="10"/>
      <c r="AA53" s="10"/>
      <c r="AB53" s="10"/>
      <c r="AC53" s="10"/>
      <c r="AD53" s="10"/>
      <c r="AE53" s="10"/>
      <c r="AF53" s="10"/>
      <c r="AG53" s="10"/>
    </row>
    <row r="54" spans="2:102" ht="27.75" customHeight="1" x14ac:dyDescent="0.3">
      <c r="B54" s="1376" t="s">
        <v>947</v>
      </c>
      <c r="C54" s="1377"/>
      <c r="D54" s="1377"/>
      <c r="E54" s="1377"/>
      <c r="F54" s="1377"/>
      <c r="G54" s="1377"/>
      <c r="H54" s="1377"/>
      <c r="I54" s="1377"/>
      <c r="J54" s="1377"/>
      <c r="K54" s="1377"/>
      <c r="L54" s="1377"/>
      <c r="M54" s="1377"/>
      <c r="N54" s="1377"/>
      <c r="O54" s="1377"/>
      <c r="P54" s="1378"/>
      <c r="R54" s="10"/>
      <c r="S54" s="10"/>
      <c r="T54" s="10"/>
      <c r="U54" s="10"/>
      <c r="V54" s="10"/>
      <c r="W54" s="10"/>
      <c r="X54" s="10"/>
      <c r="Y54" s="10"/>
      <c r="Z54" s="10"/>
      <c r="AA54" s="10"/>
      <c r="AB54" s="10"/>
      <c r="AC54" s="10"/>
      <c r="AD54" s="10"/>
      <c r="AE54" s="10"/>
      <c r="AF54" s="10"/>
      <c r="AG54" s="10"/>
    </row>
    <row r="55" spans="2:102" x14ac:dyDescent="0.3">
      <c r="B55" s="246" t="s">
        <v>790</v>
      </c>
      <c r="C55" s="1125" t="str">
        <f>IF(T4&lt;&gt;"",T4,"")</f>
        <v>Go to PPD Worksheet</v>
      </c>
      <c r="D55" s="1125"/>
      <c r="E55" s="1125"/>
      <c r="F55" s="1125"/>
      <c r="G55" s="1125"/>
      <c r="H55" s="1125"/>
      <c r="I55" s="1125" t="str">
        <f>IF(S4&lt;&gt;"",S4,"")</f>
        <v/>
      </c>
      <c r="J55" s="1125"/>
      <c r="K55" s="1125"/>
      <c r="L55" s="1125"/>
      <c r="M55" s="1125"/>
      <c r="N55" s="1125"/>
      <c r="P55" s="15"/>
      <c r="R55" s="10"/>
      <c r="S55" s="10"/>
      <c r="T55" s="10"/>
      <c r="U55" s="10"/>
      <c r="V55" s="10"/>
      <c r="W55" s="10"/>
      <c r="X55" s="10"/>
      <c r="Y55" s="10"/>
      <c r="Z55" s="10"/>
      <c r="AA55" s="10"/>
      <c r="AB55" s="10"/>
      <c r="AC55" s="10"/>
      <c r="AD55" s="10"/>
      <c r="AE55" s="10"/>
      <c r="AF55" s="10"/>
      <c r="AG55" s="10"/>
    </row>
    <row r="56" spans="2:102" hidden="1" x14ac:dyDescent="0.3">
      <c r="C56" s="1"/>
      <c r="D56" s="1"/>
      <c r="E56" s="1"/>
      <c r="F56" s="1"/>
      <c r="G56" s="1"/>
      <c r="R56" s="10"/>
      <c r="S56" s="10"/>
      <c r="T56" s="10"/>
      <c r="U56" s="10"/>
      <c r="V56" s="10"/>
      <c r="W56" s="10"/>
      <c r="X56" s="10"/>
      <c r="Y56" s="10"/>
      <c r="Z56" s="10"/>
      <c r="AA56" s="10"/>
      <c r="AB56" s="10"/>
      <c r="AC56" s="10"/>
      <c r="AD56" s="10"/>
      <c r="AE56" s="10"/>
      <c r="AF56" s="10"/>
      <c r="AG56" s="10"/>
    </row>
    <row r="57" spans="2:102" hidden="1" x14ac:dyDescent="0.3">
      <c r="C57" s="1"/>
      <c r="D57" s="1"/>
      <c r="E57" s="1"/>
      <c r="F57" s="1"/>
      <c r="G57" s="1"/>
      <c r="R57" s="10"/>
      <c r="S57" s="10"/>
      <c r="T57" s="10"/>
      <c r="U57" s="10"/>
      <c r="V57" s="10"/>
      <c r="W57" s="10"/>
      <c r="X57" s="10"/>
      <c r="Y57" s="10"/>
      <c r="Z57" s="10"/>
      <c r="AA57" s="10"/>
      <c r="AB57" s="10"/>
      <c r="AC57" s="10"/>
      <c r="AD57" s="10"/>
      <c r="AE57" s="10"/>
      <c r="AF57" s="10"/>
      <c r="AG57" s="10"/>
    </row>
    <row r="58" spans="2:102" hidden="1" x14ac:dyDescent="0.3">
      <c r="C58" s="1"/>
      <c r="D58" s="1"/>
      <c r="E58" s="1"/>
      <c r="F58" s="1"/>
      <c r="G58" s="1"/>
      <c r="R58" s="10"/>
      <c r="S58" s="10"/>
      <c r="T58" s="10"/>
      <c r="U58" s="10"/>
      <c r="V58" s="10"/>
      <c r="W58" s="10"/>
      <c r="X58" s="10"/>
      <c r="Y58" s="10"/>
      <c r="Z58" s="10"/>
      <c r="AA58" s="10"/>
      <c r="AB58" s="10"/>
      <c r="AC58" s="10"/>
      <c r="AD58" s="10"/>
      <c r="AE58" s="10"/>
      <c r="AF58" s="10"/>
      <c r="AG58" s="10"/>
    </row>
    <row r="59" spans="2:102" hidden="1" x14ac:dyDescent="0.3">
      <c r="C59" s="1"/>
      <c r="D59" s="1"/>
      <c r="E59" s="1"/>
      <c r="F59" s="1"/>
      <c r="G59" s="1"/>
      <c r="R59" s="10"/>
      <c r="S59" s="10"/>
      <c r="T59" s="10"/>
      <c r="U59" s="10"/>
      <c r="V59" s="10"/>
      <c r="W59" s="10"/>
      <c r="X59" s="10"/>
      <c r="Y59" s="10"/>
      <c r="Z59" s="10"/>
      <c r="AA59" s="10"/>
      <c r="AB59" s="10"/>
      <c r="AC59" s="10"/>
      <c r="AD59" s="10"/>
      <c r="AE59" s="10"/>
      <c r="AF59" s="10"/>
      <c r="AG59" s="10"/>
    </row>
    <row r="60" spans="2:102" hidden="1" x14ac:dyDescent="0.3">
      <c r="C60" s="1"/>
      <c r="D60" s="1"/>
      <c r="E60" s="1"/>
      <c r="F60" s="1"/>
      <c r="G60" s="1"/>
      <c r="R60" s="10"/>
      <c r="S60" s="10"/>
      <c r="T60" s="10"/>
      <c r="U60" s="10"/>
      <c r="V60" s="10"/>
      <c r="W60" s="10"/>
      <c r="X60" s="10"/>
      <c r="Y60" s="10"/>
      <c r="Z60" s="10"/>
      <c r="AA60" s="10"/>
      <c r="AB60" s="10"/>
      <c r="AC60" s="10"/>
      <c r="AD60" s="10"/>
      <c r="AE60" s="10"/>
      <c r="AF60" s="10"/>
      <c r="AG60" s="10"/>
    </row>
    <row r="61" spans="2:102" ht="15" hidden="1" x14ac:dyDescent="0.3">
      <c r="B61" s="1419" t="s">
        <v>2313</v>
      </c>
      <c r="C61" s="1419"/>
      <c r="D61" s="1419"/>
      <c r="E61" s="1419"/>
      <c r="F61" s="1419"/>
      <c r="G61" s="1419"/>
      <c r="H61" s="1419"/>
      <c r="I61" s="1419"/>
      <c r="J61" s="1419"/>
      <c r="K61" s="1419"/>
      <c r="L61" s="1419"/>
      <c r="M61" s="1419"/>
      <c r="N61" s="1419"/>
      <c r="O61" s="1419"/>
      <c r="P61" s="1419"/>
      <c r="Q61" s="1419"/>
      <c r="R61" s="1419"/>
      <c r="S61" s="10"/>
      <c r="T61" s="10"/>
      <c r="U61" s="10"/>
      <c r="V61" s="10"/>
      <c r="W61" s="10"/>
      <c r="X61" s="10"/>
      <c r="Y61" s="10"/>
      <c r="Z61" s="10"/>
      <c r="AA61" s="10"/>
      <c r="AB61" s="10"/>
      <c r="AC61" s="10"/>
      <c r="AD61" s="10"/>
      <c r="AE61" s="10"/>
      <c r="AF61" s="10"/>
      <c r="AG61" s="10"/>
    </row>
    <row r="62" spans="2:102" hidden="1" x14ac:dyDescent="0.3">
      <c r="B62" s="146">
        <v>0</v>
      </c>
      <c r="C62" s="146">
        <v>1</v>
      </c>
      <c r="D62" s="18">
        <v>2</v>
      </c>
      <c r="E62" s="18">
        <v>3</v>
      </c>
      <c r="F62" s="146">
        <v>4</v>
      </c>
      <c r="G62" s="18">
        <v>5</v>
      </c>
      <c r="H62" s="18">
        <v>6</v>
      </c>
      <c r="I62" s="146">
        <v>7</v>
      </c>
      <c r="J62" s="18">
        <v>8</v>
      </c>
      <c r="K62" s="18">
        <v>9</v>
      </c>
      <c r="L62" s="146">
        <v>10</v>
      </c>
      <c r="M62" s="18">
        <v>11</v>
      </c>
      <c r="N62" s="18">
        <v>12</v>
      </c>
      <c r="O62" s="146">
        <v>13</v>
      </c>
      <c r="P62" s="18">
        <v>14</v>
      </c>
      <c r="Q62" s="619">
        <v>15</v>
      </c>
      <c r="R62" s="50">
        <v>16</v>
      </c>
      <c r="S62" s="555">
        <v>17</v>
      </c>
      <c r="T62" s="555">
        <v>18</v>
      </c>
      <c r="U62" s="50">
        <v>19</v>
      </c>
      <c r="V62" s="555">
        <v>20</v>
      </c>
      <c r="W62" s="555">
        <v>21</v>
      </c>
      <c r="X62" s="50">
        <v>22</v>
      </c>
      <c r="Y62" s="555">
        <v>23</v>
      </c>
      <c r="Z62" s="555">
        <v>24</v>
      </c>
      <c r="AA62" s="50">
        <v>25</v>
      </c>
      <c r="AB62" s="555">
        <v>26</v>
      </c>
      <c r="AC62" s="555">
        <v>27</v>
      </c>
      <c r="AD62" s="50">
        <v>28</v>
      </c>
      <c r="AE62" s="555">
        <v>29</v>
      </c>
      <c r="AF62" s="555">
        <v>30</v>
      </c>
      <c r="AG62" s="50">
        <v>31</v>
      </c>
      <c r="AH62" s="619">
        <v>32</v>
      </c>
      <c r="AI62" s="619">
        <v>33</v>
      </c>
      <c r="AJ62" s="146">
        <v>34</v>
      </c>
      <c r="AK62" s="619">
        <v>35</v>
      </c>
      <c r="AL62" s="619">
        <v>36</v>
      </c>
      <c r="AM62" s="146">
        <v>37</v>
      </c>
      <c r="AN62" s="619">
        <v>38</v>
      </c>
      <c r="AO62" s="619">
        <v>39</v>
      </c>
      <c r="AP62" s="146">
        <v>40</v>
      </c>
      <c r="AQ62" s="619">
        <v>41</v>
      </c>
      <c r="AR62" s="619">
        <v>42</v>
      </c>
      <c r="AS62" s="146">
        <v>43</v>
      </c>
      <c r="AT62" s="619">
        <v>44</v>
      </c>
      <c r="AU62" s="619">
        <v>45</v>
      </c>
      <c r="AV62" s="146">
        <v>46</v>
      </c>
      <c r="AW62" s="619">
        <v>47</v>
      </c>
      <c r="AX62" s="619">
        <v>48</v>
      </c>
      <c r="AY62" s="146">
        <v>49</v>
      </c>
      <c r="AZ62" s="619">
        <v>50</v>
      </c>
      <c r="BA62" s="619">
        <v>51</v>
      </c>
      <c r="BB62" s="146">
        <v>52</v>
      </c>
      <c r="BC62" s="619">
        <v>53</v>
      </c>
      <c r="BD62" s="619">
        <v>54</v>
      </c>
      <c r="BE62" s="146">
        <v>55</v>
      </c>
      <c r="BF62" s="619">
        <v>56</v>
      </c>
      <c r="BG62" s="619">
        <v>57</v>
      </c>
      <c r="BH62" s="146">
        <v>58</v>
      </c>
      <c r="BI62" s="619">
        <v>59</v>
      </c>
      <c r="BJ62" s="619">
        <v>60</v>
      </c>
      <c r="BK62" s="146">
        <v>61</v>
      </c>
      <c r="BL62" s="619">
        <v>62</v>
      </c>
      <c r="BM62" s="619">
        <v>63</v>
      </c>
      <c r="BN62" s="146">
        <v>64</v>
      </c>
      <c r="BO62" s="619">
        <v>65</v>
      </c>
      <c r="BP62" s="619">
        <v>66</v>
      </c>
      <c r="BQ62" s="146">
        <v>67</v>
      </c>
      <c r="BR62" s="619">
        <v>68</v>
      </c>
      <c r="BS62" s="619">
        <v>69</v>
      </c>
      <c r="BT62" s="146">
        <v>70</v>
      </c>
      <c r="BU62" s="619">
        <v>71</v>
      </c>
      <c r="BV62" s="619">
        <v>72</v>
      </c>
      <c r="BW62" s="146">
        <v>73</v>
      </c>
      <c r="BX62" s="619">
        <v>74</v>
      </c>
      <c r="BY62" s="619">
        <v>75</v>
      </c>
      <c r="BZ62" s="146">
        <v>76</v>
      </c>
      <c r="CA62" s="619">
        <v>77</v>
      </c>
      <c r="CB62" s="619">
        <v>78</v>
      </c>
      <c r="CC62" s="146">
        <v>79</v>
      </c>
      <c r="CD62" s="619">
        <v>80</v>
      </c>
      <c r="CE62" s="619">
        <v>81</v>
      </c>
      <c r="CF62" s="146">
        <v>82</v>
      </c>
      <c r="CG62" s="619">
        <v>83</v>
      </c>
      <c r="CH62" s="619">
        <v>84</v>
      </c>
      <c r="CI62" s="146">
        <v>85</v>
      </c>
      <c r="CJ62" s="619">
        <v>86</v>
      </c>
      <c r="CK62" s="619">
        <v>87</v>
      </c>
      <c r="CL62" s="146">
        <v>88</v>
      </c>
      <c r="CM62" s="619">
        <v>89</v>
      </c>
      <c r="CN62" s="619">
        <v>90</v>
      </c>
      <c r="CO62" s="146">
        <v>91</v>
      </c>
      <c r="CP62" s="619">
        <v>92</v>
      </c>
      <c r="CQ62" s="619">
        <v>93</v>
      </c>
      <c r="CR62" s="146">
        <v>94</v>
      </c>
      <c r="CS62" s="619">
        <v>95</v>
      </c>
      <c r="CT62" s="619">
        <v>96</v>
      </c>
      <c r="CU62" s="146">
        <v>97</v>
      </c>
      <c r="CV62" s="619">
        <v>98</v>
      </c>
      <c r="CW62" s="619">
        <v>99</v>
      </c>
      <c r="CX62" s="146">
        <v>100</v>
      </c>
    </row>
    <row r="63" spans="2:102" ht="14" hidden="1" x14ac:dyDescent="0.3">
      <c r="B63" s="145"/>
      <c r="C63" s="1"/>
      <c r="D63" s="1"/>
      <c r="E63" s="1"/>
      <c r="F63" s="1"/>
      <c r="G63" s="1"/>
      <c r="R63" s="10"/>
      <c r="S63" s="10"/>
      <c r="T63" s="10"/>
      <c r="U63" s="10"/>
      <c r="V63" s="10"/>
      <c r="W63" s="10"/>
      <c r="X63" s="10"/>
      <c r="Y63" s="10"/>
      <c r="Z63" s="10"/>
      <c r="AA63" s="10"/>
      <c r="AB63" s="10"/>
      <c r="AC63" s="10"/>
      <c r="AD63" s="10"/>
      <c r="AE63" s="10"/>
      <c r="AF63" s="10"/>
      <c r="AG63" s="10"/>
    </row>
    <row r="64" spans="2:102" hidden="1" x14ac:dyDescent="0.3">
      <c r="C64" s="1"/>
      <c r="D64" s="1"/>
      <c r="E64" s="1"/>
      <c r="F64" s="1"/>
      <c r="G64" s="1"/>
      <c r="R64" s="10"/>
      <c r="S64" s="10"/>
      <c r="T64" s="10"/>
      <c r="U64" s="10"/>
      <c r="V64" s="10"/>
      <c r="W64" s="10"/>
      <c r="X64" s="10"/>
      <c r="Y64" s="10"/>
      <c r="Z64" s="10"/>
      <c r="AA64" s="10"/>
      <c r="AB64" s="10"/>
      <c r="AC64" s="10"/>
      <c r="AD64" s="10"/>
      <c r="AE64" s="10"/>
      <c r="AF64" s="10"/>
      <c r="AG64" s="10"/>
    </row>
    <row r="65" spans="18:33" hidden="1" x14ac:dyDescent="0.3">
      <c r="R65" s="10"/>
      <c r="S65" s="10"/>
      <c r="T65" s="10"/>
      <c r="U65" s="10"/>
      <c r="V65" s="10"/>
      <c r="W65" s="10"/>
      <c r="X65" s="10"/>
      <c r="Y65" s="10"/>
      <c r="Z65" s="10"/>
      <c r="AA65" s="10"/>
      <c r="AB65" s="10"/>
      <c r="AC65" s="10"/>
      <c r="AD65" s="10"/>
      <c r="AE65" s="10"/>
      <c r="AF65" s="10"/>
      <c r="AG65" s="10"/>
    </row>
    <row r="66" spans="18:33" hidden="1" x14ac:dyDescent="0.3">
      <c r="R66" s="10"/>
      <c r="S66" s="10"/>
      <c r="T66" s="10"/>
      <c r="U66" s="10"/>
      <c r="V66" s="10"/>
      <c r="W66" s="10"/>
      <c r="X66" s="10"/>
      <c r="Y66" s="10"/>
      <c r="Z66" s="10"/>
      <c r="AA66" s="10"/>
      <c r="AB66" s="10"/>
      <c r="AC66" s="10"/>
      <c r="AD66" s="10"/>
      <c r="AE66" s="10"/>
      <c r="AF66" s="10"/>
      <c r="AG66" s="10"/>
    </row>
    <row r="67" spans="18:33" hidden="1" x14ac:dyDescent="0.3">
      <c r="R67" s="10"/>
      <c r="S67" s="10"/>
      <c r="T67" s="10"/>
      <c r="U67" s="10"/>
      <c r="V67" s="10"/>
      <c r="W67" s="10"/>
      <c r="X67" s="10"/>
      <c r="Y67" s="10"/>
      <c r="Z67" s="10"/>
      <c r="AA67" s="10"/>
      <c r="AB67" s="10"/>
      <c r="AC67" s="10"/>
      <c r="AD67" s="10"/>
      <c r="AE67" s="10"/>
      <c r="AF67" s="10"/>
      <c r="AG67" s="10"/>
    </row>
    <row r="68" spans="18:33" hidden="1" x14ac:dyDescent="0.3">
      <c r="R68" s="10"/>
      <c r="S68" s="10"/>
      <c r="T68" s="10"/>
      <c r="U68" s="10"/>
      <c r="V68" s="10"/>
      <c r="W68" s="10"/>
      <c r="X68" s="10"/>
      <c r="Y68" s="10"/>
      <c r="Z68" s="10"/>
      <c r="AA68" s="10"/>
      <c r="AB68" s="10"/>
      <c r="AC68" s="10"/>
      <c r="AD68" s="10"/>
      <c r="AE68" s="10"/>
      <c r="AF68" s="10"/>
      <c r="AG68" s="10"/>
    </row>
    <row r="69" spans="18:33" hidden="1" x14ac:dyDescent="0.3">
      <c r="R69" s="10"/>
      <c r="S69" s="10"/>
      <c r="T69" s="10"/>
      <c r="U69" s="10"/>
      <c r="V69" s="10"/>
      <c r="W69" s="10"/>
      <c r="X69" s="10"/>
      <c r="Y69" s="10"/>
      <c r="Z69" s="10"/>
      <c r="AA69" s="10"/>
      <c r="AB69" s="10"/>
      <c r="AC69" s="10"/>
      <c r="AD69" s="10"/>
      <c r="AE69" s="10"/>
      <c r="AF69" s="10"/>
      <c r="AG69" s="10"/>
    </row>
    <row r="70" spans="18:33" x14ac:dyDescent="0.3">
      <c r="R70" s="10"/>
      <c r="S70" s="10"/>
      <c r="T70" s="10"/>
      <c r="U70" s="10"/>
      <c r="V70" s="10"/>
      <c r="W70" s="10"/>
      <c r="X70" s="10"/>
      <c r="Y70" s="10"/>
      <c r="Z70" s="10"/>
      <c r="AA70" s="10"/>
      <c r="AB70" s="10"/>
      <c r="AC70" s="10"/>
      <c r="AD70" s="10"/>
      <c r="AE70" s="10"/>
      <c r="AF70" s="10"/>
      <c r="AG70" s="10"/>
    </row>
    <row r="71" spans="18:33" x14ac:dyDescent="0.3">
      <c r="R71" s="10"/>
      <c r="S71" s="10"/>
      <c r="T71" s="10"/>
      <c r="U71" s="10"/>
      <c r="V71" s="10"/>
      <c r="W71" s="10"/>
      <c r="X71" s="10"/>
      <c r="Y71" s="10"/>
      <c r="Z71" s="10"/>
      <c r="AA71" s="10"/>
      <c r="AB71" s="10"/>
      <c r="AC71" s="10"/>
      <c r="AD71" s="10"/>
      <c r="AE71" s="10"/>
      <c r="AF71" s="10"/>
      <c r="AG71" s="10"/>
    </row>
    <row r="72" spans="18:33" x14ac:dyDescent="0.3">
      <c r="R72" s="10"/>
      <c r="S72" s="10"/>
      <c r="T72" s="10"/>
      <c r="U72" s="10"/>
      <c r="V72" s="10"/>
      <c r="W72" s="10"/>
      <c r="X72" s="10"/>
      <c r="Y72" s="10"/>
      <c r="Z72" s="10"/>
      <c r="AA72" s="10"/>
      <c r="AB72" s="10"/>
      <c r="AC72" s="10"/>
      <c r="AD72" s="10"/>
      <c r="AE72" s="10"/>
      <c r="AF72" s="10"/>
      <c r="AG72" s="10"/>
    </row>
    <row r="73" spans="18:33" x14ac:dyDescent="0.3">
      <c r="R73" s="10"/>
      <c r="S73" s="10"/>
      <c r="T73" s="10"/>
      <c r="U73" s="10"/>
      <c r="V73" s="10"/>
      <c r="W73" s="10"/>
      <c r="X73" s="10"/>
      <c r="Y73" s="10"/>
      <c r="Z73" s="10"/>
      <c r="AA73" s="10"/>
      <c r="AB73" s="10"/>
      <c r="AC73" s="10"/>
      <c r="AD73" s="10"/>
      <c r="AE73" s="10"/>
      <c r="AF73" s="10"/>
      <c r="AG73" s="10"/>
    </row>
    <row r="74" spans="18:33" x14ac:dyDescent="0.3">
      <c r="R74" s="10"/>
      <c r="S74" s="10"/>
      <c r="T74" s="10"/>
      <c r="U74" s="10"/>
      <c r="V74" s="10"/>
      <c r="W74" s="10"/>
      <c r="X74" s="10"/>
      <c r="Y74" s="10"/>
      <c r="Z74" s="10"/>
      <c r="AA74" s="10"/>
      <c r="AB74" s="10"/>
      <c r="AC74" s="10"/>
      <c r="AD74" s="10"/>
      <c r="AE74" s="10"/>
      <c r="AF74" s="10"/>
      <c r="AG74" s="10"/>
    </row>
    <row r="75" spans="18:33" x14ac:dyDescent="0.3">
      <c r="R75" s="10"/>
      <c r="S75" s="10"/>
      <c r="T75" s="10"/>
      <c r="U75" s="10"/>
      <c r="V75" s="10"/>
      <c r="W75" s="10"/>
      <c r="X75" s="10"/>
      <c r="Y75" s="10"/>
      <c r="Z75" s="10"/>
      <c r="AA75" s="10"/>
      <c r="AB75" s="10"/>
      <c r="AC75" s="10"/>
      <c r="AD75" s="10"/>
      <c r="AE75" s="10"/>
      <c r="AF75" s="10"/>
      <c r="AG75" s="10"/>
    </row>
    <row r="76" spans="18:33" x14ac:dyDescent="0.3">
      <c r="R76" s="10"/>
      <c r="S76" s="10"/>
      <c r="T76" s="10"/>
      <c r="U76" s="10"/>
      <c r="V76" s="10"/>
      <c r="W76" s="10"/>
      <c r="X76" s="10"/>
      <c r="Y76" s="10"/>
      <c r="Z76" s="10"/>
      <c r="AA76" s="10"/>
      <c r="AB76" s="10"/>
      <c r="AC76" s="10"/>
      <c r="AD76" s="10"/>
      <c r="AE76" s="10"/>
      <c r="AF76" s="10"/>
      <c r="AG76" s="10"/>
    </row>
    <row r="77" spans="18:33" x14ac:dyDescent="0.3">
      <c r="R77" s="10"/>
      <c r="S77" s="10"/>
      <c r="T77" s="10"/>
      <c r="U77" s="10"/>
      <c r="V77" s="10"/>
      <c r="W77" s="10"/>
      <c r="X77" s="10"/>
      <c r="Y77" s="10"/>
      <c r="Z77" s="10"/>
      <c r="AA77" s="10"/>
      <c r="AB77" s="10"/>
      <c r="AC77" s="10"/>
      <c r="AD77" s="10"/>
      <c r="AE77" s="10"/>
      <c r="AF77" s="10"/>
      <c r="AG77" s="10"/>
    </row>
    <row r="78" spans="18:33" x14ac:dyDescent="0.3">
      <c r="R78" s="10"/>
      <c r="S78" s="10"/>
      <c r="T78" s="151"/>
      <c r="U78" s="10"/>
      <c r="V78" s="10"/>
      <c r="W78" s="10"/>
      <c r="X78" s="10"/>
      <c r="Y78" s="10"/>
      <c r="Z78" s="10"/>
      <c r="AA78" s="10"/>
      <c r="AB78" s="10"/>
      <c r="AC78" s="10"/>
      <c r="AD78" s="10"/>
      <c r="AE78" s="10"/>
      <c r="AF78" s="10"/>
      <c r="AG78" s="10"/>
    </row>
    <row r="79" spans="18:33" x14ac:dyDescent="0.3">
      <c r="R79" s="10"/>
      <c r="S79" s="10"/>
      <c r="T79" s="10"/>
      <c r="U79" s="10"/>
      <c r="V79" s="10"/>
      <c r="W79" s="10"/>
      <c r="X79" s="10"/>
      <c r="Y79" s="10"/>
      <c r="Z79" s="10"/>
      <c r="AA79" s="10"/>
      <c r="AB79" s="10"/>
      <c r="AC79" s="10"/>
      <c r="AD79" s="10"/>
      <c r="AE79" s="10"/>
      <c r="AF79" s="10"/>
      <c r="AG79" s="10"/>
    </row>
    <row r="80" spans="18:33" x14ac:dyDescent="0.3">
      <c r="R80" s="10"/>
      <c r="S80" s="10"/>
      <c r="T80" s="10"/>
      <c r="U80" s="10"/>
      <c r="V80" s="10"/>
      <c r="W80" s="10"/>
      <c r="X80" s="10"/>
      <c r="Y80" s="10"/>
      <c r="Z80" s="10"/>
      <c r="AA80" s="10"/>
      <c r="AB80" s="10"/>
      <c r="AC80" s="10"/>
      <c r="AD80" s="10"/>
      <c r="AE80" s="10"/>
      <c r="AF80" s="10"/>
      <c r="AG80" s="10"/>
    </row>
    <row r="81" spans="18:33" x14ac:dyDescent="0.3">
      <c r="R81" s="10"/>
      <c r="S81" s="10"/>
      <c r="T81" s="10"/>
      <c r="U81" s="10"/>
      <c r="V81" s="10"/>
      <c r="W81" s="10"/>
      <c r="X81" s="10"/>
      <c r="Y81" s="10"/>
      <c r="Z81" s="10"/>
      <c r="AA81" s="10"/>
      <c r="AB81" s="10"/>
      <c r="AC81" s="10"/>
      <c r="AD81" s="10"/>
      <c r="AE81" s="10"/>
      <c r="AF81" s="10"/>
      <c r="AG81" s="10"/>
    </row>
    <row r="82" spans="18:33" x14ac:dyDescent="0.3">
      <c r="R82" s="10"/>
      <c r="S82" s="10"/>
      <c r="T82" s="10"/>
      <c r="U82" s="10"/>
      <c r="V82" s="10"/>
      <c r="W82" s="10"/>
      <c r="X82" s="10"/>
      <c r="Y82" s="10"/>
      <c r="Z82" s="10"/>
      <c r="AA82" s="10"/>
      <c r="AB82" s="10"/>
      <c r="AC82" s="10"/>
      <c r="AD82" s="10"/>
      <c r="AE82" s="10"/>
      <c r="AF82" s="10"/>
      <c r="AG82" s="10"/>
    </row>
    <row r="83" spans="18:33" x14ac:dyDescent="0.3">
      <c r="R83" s="10"/>
      <c r="S83" s="10"/>
      <c r="T83" s="10"/>
      <c r="U83" s="10"/>
      <c r="V83" s="10"/>
      <c r="W83" s="10"/>
      <c r="X83" s="10"/>
      <c r="Y83" s="10"/>
      <c r="Z83" s="10"/>
      <c r="AA83" s="10"/>
      <c r="AB83" s="10"/>
      <c r="AC83" s="10"/>
      <c r="AD83" s="10"/>
      <c r="AE83" s="10"/>
      <c r="AF83" s="10"/>
      <c r="AG83" s="10"/>
    </row>
    <row r="84" spans="18:33" x14ac:dyDescent="0.3">
      <c r="R84" s="10"/>
      <c r="S84" s="10"/>
      <c r="T84" s="10"/>
      <c r="U84" s="10"/>
      <c r="V84" s="10"/>
      <c r="W84" s="10"/>
      <c r="X84" s="10"/>
      <c r="Y84" s="10"/>
      <c r="Z84" s="10"/>
      <c r="AA84" s="10"/>
      <c r="AB84" s="10"/>
      <c r="AC84" s="10"/>
      <c r="AD84" s="10"/>
      <c r="AE84" s="10"/>
      <c r="AF84" s="10"/>
      <c r="AG84" s="10"/>
    </row>
    <row r="85" spans="18:33" x14ac:dyDescent="0.3">
      <c r="R85" s="10"/>
      <c r="S85" s="10"/>
      <c r="T85" s="10"/>
      <c r="U85" s="10"/>
      <c r="V85" s="10"/>
      <c r="W85" s="10"/>
      <c r="X85" s="10"/>
      <c r="Y85" s="10"/>
      <c r="Z85" s="10"/>
      <c r="AA85" s="10"/>
      <c r="AB85" s="10"/>
      <c r="AC85" s="10"/>
      <c r="AD85" s="10"/>
      <c r="AE85" s="10"/>
      <c r="AF85" s="10"/>
      <c r="AG85" s="10"/>
    </row>
    <row r="86" spans="18:33" x14ac:dyDescent="0.3">
      <c r="R86" s="10"/>
      <c r="S86" s="10"/>
      <c r="T86" s="10"/>
      <c r="U86" s="10"/>
      <c r="V86" s="10"/>
      <c r="W86" s="10"/>
      <c r="X86" s="10"/>
      <c r="Y86" s="10"/>
      <c r="Z86" s="10"/>
      <c r="AA86" s="10"/>
      <c r="AB86" s="10"/>
      <c r="AC86" s="10"/>
      <c r="AD86" s="10"/>
      <c r="AE86" s="10"/>
      <c r="AF86" s="10"/>
      <c r="AG86" s="10"/>
    </row>
    <row r="87" spans="18:33" x14ac:dyDescent="0.3">
      <c r="R87" s="10"/>
      <c r="S87" s="10"/>
      <c r="T87" s="10"/>
      <c r="U87" s="10"/>
      <c r="V87" s="10"/>
      <c r="W87" s="10"/>
      <c r="X87" s="10"/>
      <c r="Y87" s="10"/>
      <c r="Z87" s="10"/>
      <c r="AA87" s="10"/>
      <c r="AB87" s="10"/>
      <c r="AC87" s="10"/>
      <c r="AD87" s="10"/>
      <c r="AE87" s="10"/>
      <c r="AF87" s="10"/>
      <c r="AG87" s="10"/>
    </row>
    <row r="88" spans="18:33" x14ac:dyDescent="0.3">
      <c r="R88" s="10"/>
      <c r="S88" s="10"/>
      <c r="T88" s="10"/>
      <c r="U88" s="10"/>
      <c r="V88" s="10"/>
      <c r="W88" s="10"/>
      <c r="X88" s="10"/>
      <c r="Y88" s="10"/>
      <c r="Z88" s="10"/>
      <c r="AA88" s="10"/>
      <c r="AB88" s="10"/>
      <c r="AC88" s="10"/>
      <c r="AD88" s="10"/>
      <c r="AE88" s="10"/>
      <c r="AF88" s="10"/>
      <c r="AG88" s="10"/>
    </row>
    <row r="89" spans="18:33" x14ac:dyDescent="0.3">
      <c r="R89" s="10"/>
      <c r="S89" s="10"/>
      <c r="T89" s="10"/>
      <c r="U89" s="10"/>
      <c r="V89" s="10"/>
      <c r="W89" s="10"/>
      <c r="X89" s="10"/>
      <c r="Y89" s="10"/>
      <c r="Z89" s="10"/>
      <c r="AA89" s="10"/>
      <c r="AB89" s="10"/>
      <c r="AC89" s="10"/>
      <c r="AD89" s="10"/>
      <c r="AE89" s="10"/>
      <c r="AF89" s="10"/>
      <c r="AG89" s="10"/>
    </row>
    <row r="90" spans="18:33" x14ac:dyDescent="0.3">
      <c r="R90" s="10"/>
      <c r="S90" s="10"/>
      <c r="T90" s="10"/>
      <c r="U90" s="10"/>
      <c r="V90" s="10"/>
      <c r="W90" s="10"/>
      <c r="X90" s="10"/>
      <c r="Y90" s="10"/>
      <c r="Z90" s="10"/>
      <c r="AA90" s="10"/>
      <c r="AB90" s="10"/>
      <c r="AC90" s="10"/>
      <c r="AD90" s="10"/>
      <c r="AE90" s="10"/>
      <c r="AF90" s="10"/>
      <c r="AG90" s="10"/>
    </row>
    <row r="91" spans="18:33" x14ac:dyDescent="0.3">
      <c r="R91" s="10"/>
      <c r="S91" s="10"/>
      <c r="T91" s="10"/>
      <c r="U91" s="10"/>
      <c r="V91" s="10"/>
      <c r="W91" s="10"/>
      <c r="X91" s="10"/>
      <c r="Y91" s="10"/>
      <c r="Z91" s="10"/>
      <c r="AA91" s="10"/>
      <c r="AB91" s="10"/>
      <c r="AC91" s="10"/>
      <c r="AD91" s="10"/>
      <c r="AE91" s="10"/>
      <c r="AF91" s="10"/>
      <c r="AG91" s="10"/>
    </row>
    <row r="92" spans="18:33" x14ac:dyDescent="0.3">
      <c r="R92" s="10"/>
      <c r="S92" s="10"/>
      <c r="T92" s="10"/>
      <c r="U92" s="10"/>
      <c r="V92" s="10"/>
      <c r="W92" s="10"/>
      <c r="X92" s="10"/>
      <c r="Y92" s="10"/>
      <c r="Z92" s="10"/>
      <c r="AA92" s="10"/>
      <c r="AB92" s="10"/>
      <c r="AC92" s="10"/>
      <c r="AD92" s="10"/>
      <c r="AE92" s="10"/>
      <c r="AF92" s="10"/>
      <c r="AG92" s="10"/>
    </row>
    <row r="93" spans="18:33" x14ac:dyDescent="0.3">
      <c r="R93" s="10"/>
      <c r="S93" s="10"/>
      <c r="T93" s="10"/>
      <c r="U93" s="10"/>
      <c r="V93" s="10"/>
      <c r="W93" s="10"/>
      <c r="X93" s="10"/>
      <c r="Y93" s="10"/>
      <c r="Z93" s="10"/>
      <c r="AA93" s="10"/>
      <c r="AB93" s="10"/>
      <c r="AC93" s="10"/>
      <c r="AD93" s="10"/>
      <c r="AE93" s="10"/>
      <c r="AF93" s="10"/>
      <c r="AG93" s="10"/>
    </row>
    <row r="94" spans="18:33" x14ac:dyDescent="0.3">
      <c r="R94" s="10"/>
      <c r="S94" s="10"/>
      <c r="T94" s="10"/>
      <c r="U94" s="10"/>
      <c r="V94" s="10"/>
      <c r="W94" s="10"/>
      <c r="X94" s="10"/>
      <c r="Y94" s="10"/>
      <c r="Z94" s="10"/>
      <c r="AA94" s="10"/>
      <c r="AB94" s="10"/>
      <c r="AC94" s="10"/>
      <c r="AD94" s="10"/>
      <c r="AE94" s="10"/>
      <c r="AF94" s="10"/>
      <c r="AG94" s="10"/>
    </row>
    <row r="95" spans="18:33" x14ac:dyDescent="0.3">
      <c r="R95" s="10"/>
      <c r="S95" s="10"/>
      <c r="T95" s="10"/>
      <c r="U95" s="10"/>
      <c r="V95" s="10"/>
      <c r="W95" s="10"/>
      <c r="X95" s="10"/>
      <c r="Y95" s="10"/>
      <c r="Z95" s="10"/>
      <c r="AA95" s="10"/>
      <c r="AB95" s="10"/>
      <c r="AC95" s="10"/>
      <c r="AD95" s="10"/>
      <c r="AE95" s="10"/>
      <c r="AF95" s="10"/>
      <c r="AG95" s="10"/>
    </row>
    <row r="96" spans="18:33" x14ac:dyDescent="0.3">
      <c r="R96" s="10"/>
      <c r="S96" s="10"/>
      <c r="T96" s="10"/>
      <c r="U96" s="10"/>
      <c r="V96" s="10"/>
      <c r="W96" s="10"/>
      <c r="X96" s="10"/>
      <c r="Y96" s="10"/>
      <c r="Z96" s="10"/>
      <c r="AA96" s="10"/>
      <c r="AB96" s="10"/>
      <c r="AC96" s="10"/>
      <c r="AD96" s="10"/>
      <c r="AE96" s="10"/>
      <c r="AF96" s="10"/>
      <c r="AG96" s="10"/>
    </row>
    <row r="97" spans="18:33" x14ac:dyDescent="0.3">
      <c r="R97" s="10"/>
      <c r="S97" s="10"/>
      <c r="T97" s="10"/>
      <c r="U97" s="10"/>
      <c r="V97" s="10"/>
      <c r="W97" s="10"/>
      <c r="X97" s="10"/>
      <c r="Y97" s="10"/>
      <c r="Z97" s="10"/>
      <c r="AA97" s="10"/>
      <c r="AB97" s="10"/>
      <c r="AC97" s="10"/>
      <c r="AD97" s="10"/>
      <c r="AE97" s="10"/>
      <c r="AF97" s="10"/>
      <c r="AG97" s="10"/>
    </row>
    <row r="98" spans="18:33" x14ac:dyDescent="0.3">
      <c r="R98" s="10"/>
      <c r="S98" s="10"/>
      <c r="T98" s="10"/>
      <c r="U98" s="10"/>
      <c r="V98" s="10"/>
      <c r="W98" s="10"/>
      <c r="X98" s="10"/>
      <c r="Y98" s="10"/>
      <c r="Z98" s="10"/>
      <c r="AA98" s="10"/>
      <c r="AB98" s="10"/>
      <c r="AC98" s="10"/>
      <c r="AD98" s="10"/>
      <c r="AE98" s="10"/>
      <c r="AF98" s="10"/>
      <c r="AG98" s="10"/>
    </row>
    <row r="99" spans="18:33" x14ac:dyDescent="0.3">
      <c r="R99" s="10"/>
      <c r="S99" s="10"/>
      <c r="T99" s="10"/>
      <c r="U99" s="10"/>
      <c r="V99" s="10"/>
      <c r="W99" s="10"/>
      <c r="X99" s="10"/>
      <c r="Y99" s="10"/>
      <c r="Z99" s="10"/>
      <c r="AA99" s="10"/>
      <c r="AB99" s="10"/>
      <c r="AC99" s="10"/>
      <c r="AD99" s="10"/>
      <c r="AE99" s="10"/>
      <c r="AF99" s="10"/>
      <c r="AG99" s="10"/>
    </row>
    <row r="100" spans="18:33" x14ac:dyDescent="0.3">
      <c r="R100" s="10"/>
      <c r="S100" s="10"/>
      <c r="T100" s="10"/>
      <c r="U100" s="10"/>
      <c r="V100" s="10"/>
      <c r="W100" s="10"/>
      <c r="X100" s="10"/>
      <c r="Y100" s="10"/>
      <c r="Z100" s="10"/>
      <c r="AA100" s="10"/>
      <c r="AB100" s="10"/>
      <c r="AC100" s="10"/>
      <c r="AD100" s="10"/>
      <c r="AE100" s="10"/>
      <c r="AF100" s="10"/>
      <c r="AG100" s="10"/>
    </row>
    <row r="101" spans="18:33" x14ac:dyDescent="0.3">
      <c r="R101" s="10"/>
      <c r="S101" s="10"/>
      <c r="T101" s="10"/>
      <c r="U101" s="10"/>
      <c r="V101" s="10"/>
      <c r="W101" s="10"/>
      <c r="X101" s="10"/>
      <c r="Y101" s="10"/>
      <c r="Z101" s="10"/>
      <c r="AA101" s="10"/>
      <c r="AB101" s="10"/>
      <c r="AC101" s="10"/>
      <c r="AD101" s="10"/>
      <c r="AE101" s="10"/>
      <c r="AF101" s="10"/>
      <c r="AG101" s="10"/>
    </row>
    <row r="102" spans="18:33" x14ac:dyDescent="0.3">
      <c r="R102" s="10"/>
      <c r="S102" s="10"/>
      <c r="T102" s="10"/>
      <c r="U102" s="10"/>
      <c r="V102" s="10"/>
      <c r="W102" s="10"/>
      <c r="X102" s="10"/>
      <c r="Y102" s="10"/>
      <c r="Z102" s="10"/>
      <c r="AA102" s="10"/>
      <c r="AB102" s="10"/>
      <c r="AC102" s="10"/>
      <c r="AD102" s="10"/>
      <c r="AE102" s="10"/>
      <c r="AF102" s="10"/>
      <c r="AG102" s="10"/>
    </row>
    <row r="103" spans="18:33" x14ac:dyDescent="0.3">
      <c r="R103" s="10"/>
      <c r="S103" s="10"/>
      <c r="T103" s="10"/>
      <c r="U103" s="10"/>
      <c r="V103" s="10"/>
      <c r="W103" s="10"/>
      <c r="X103" s="10"/>
      <c r="Y103" s="10"/>
      <c r="Z103" s="10"/>
      <c r="AA103" s="10"/>
      <c r="AB103" s="10"/>
      <c r="AC103" s="10"/>
      <c r="AD103" s="10"/>
      <c r="AE103" s="10"/>
      <c r="AF103" s="10"/>
      <c r="AG103" s="10"/>
    </row>
    <row r="104" spans="18:33" x14ac:dyDescent="0.3">
      <c r="R104" s="10"/>
      <c r="S104" s="10"/>
      <c r="T104" s="10"/>
      <c r="U104" s="10"/>
      <c r="V104" s="10"/>
      <c r="W104" s="10"/>
      <c r="X104" s="10"/>
      <c r="Y104" s="10"/>
      <c r="Z104" s="10"/>
      <c r="AA104" s="10"/>
      <c r="AB104" s="10"/>
      <c r="AC104" s="10"/>
      <c r="AD104" s="10"/>
      <c r="AE104" s="10"/>
      <c r="AF104" s="10"/>
      <c r="AG104" s="10"/>
    </row>
    <row r="105" spans="18:33" x14ac:dyDescent="0.3">
      <c r="R105" s="10"/>
      <c r="S105" s="10"/>
      <c r="T105" s="10"/>
      <c r="U105" s="10"/>
      <c r="V105" s="10"/>
      <c r="W105" s="10"/>
      <c r="X105" s="10"/>
      <c r="Y105" s="10"/>
      <c r="Z105" s="10"/>
      <c r="AA105" s="10"/>
      <c r="AB105" s="10"/>
      <c r="AC105" s="10"/>
      <c r="AD105" s="10"/>
      <c r="AE105" s="10"/>
      <c r="AF105" s="10"/>
      <c r="AG105" s="10"/>
    </row>
    <row r="106" spans="18:33" x14ac:dyDescent="0.3">
      <c r="R106" s="10"/>
      <c r="S106" s="10"/>
      <c r="T106" s="10"/>
      <c r="U106" s="10"/>
      <c r="V106" s="10"/>
      <c r="W106" s="10"/>
      <c r="X106" s="10"/>
      <c r="Y106" s="10"/>
      <c r="Z106" s="10"/>
      <c r="AA106" s="10"/>
      <c r="AB106" s="10"/>
      <c r="AC106" s="10"/>
      <c r="AD106" s="10"/>
      <c r="AE106" s="10"/>
      <c r="AF106" s="10"/>
      <c r="AG106" s="10"/>
    </row>
    <row r="107" spans="18:33" x14ac:dyDescent="0.3">
      <c r="R107" s="10"/>
      <c r="S107" s="10"/>
      <c r="T107" s="10"/>
      <c r="U107" s="10"/>
      <c r="V107" s="10"/>
      <c r="W107" s="10"/>
      <c r="X107" s="10"/>
      <c r="Y107" s="10"/>
      <c r="Z107" s="10"/>
      <c r="AA107" s="10"/>
      <c r="AB107" s="10"/>
      <c r="AC107" s="10"/>
      <c r="AD107" s="10"/>
      <c r="AE107" s="10"/>
      <c r="AF107" s="10"/>
      <c r="AG107" s="10"/>
    </row>
    <row r="108" spans="18:33" x14ac:dyDescent="0.3">
      <c r="R108" s="10"/>
      <c r="S108" s="10"/>
      <c r="T108" s="10"/>
      <c r="U108" s="10"/>
      <c r="V108" s="10"/>
      <c r="W108" s="10"/>
      <c r="X108" s="10"/>
      <c r="Y108" s="10"/>
      <c r="Z108" s="10"/>
      <c r="AA108" s="10"/>
      <c r="AB108" s="10"/>
      <c r="AC108" s="10"/>
      <c r="AD108" s="10"/>
      <c r="AE108" s="10"/>
      <c r="AF108" s="10"/>
      <c r="AG108" s="10"/>
    </row>
    <row r="109" spans="18:33" x14ac:dyDescent="0.3">
      <c r="R109" s="10"/>
      <c r="S109" s="10"/>
      <c r="T109" s="10"/>
      <c r="U109" s="10"/>
      <c r="V109" s="10"/>
      <c r="W109" s="10"/>
      <c r="X109" s="10"/>
      <c r="Y109" s="10"/>
      <c r="Z109" s="10"/>
      <c r="AA109" s="10"/>
      <c r="AB109" s="10"/>
      <c r="AC109" s="10"/>
      <c r="AD109" s="10"/>
      <c r="AE109" s="10"/>
      <c r="AF109" s="10"/>
      <c r="AG109" s="10"/>
    </row>
    <row r="110" spans="18:33" x14ac:dyDescent="0.3">
      <c r="R110" s="10"/>
      <c r="S110" s="10"/>
      <c r="T110" s="10"/>
      <c r="U110" s="10"/>
      <c r="V110" s="10"/>
      <c r="W110" s="10"/>
      <c r="X110" s="10"/>
      <c r="Y110" s="10"/>
      <c r="Z110" s="10"/>
      <c r="AA110" s="10"/>
      <c r="AB110" s="10"/>
      <c r="AC110" s="10"/>
      <c r="AD110" s="10"/>
      <c r="AE110" s="10"/>
      <c r="AF110" s="10"/>
      <c r="AG110" s="10"/>
    </row>
    <row r="111" spans="18:33" x14ac:dyDescent="0.3">
      <c r="R111" s="10"/>
      <c r="S111" s="10"/>
      <c r="T111" s="10"/>
      <c r="U111" s="10"/>
      <c r="V111" s="10"/>
      <c r="W111" s="10"/>
      <c r="X111" s="10"/>
      <c r="Y111" s="10"/>
      <c r="Z111" s="10"/>
      <c r="AA111" s="10"/>
      <c r="AB111" s="10"/>
      <c r="AC111" s="10"/>
      <c r="AD111" s="10"/>
      <c r="AE111" s="10"/>
      <c r="AF111" s="10"/>
      <c r="AG111" s="10"/>
    </row>
    <row r="112" spans="18:33" x14ac:dyDescent="0.3">
      <c r="R112" s="10"/>
      <c r="S112" s="10"/>
      <c r="T112" s="10"/>
      <c r="U112" s="10"/>
      <c r="V112" s="10"/>
      <c r="W112" s="10"/>
      <c r="X112" s="10"/>
      <c r="Y112" s="10"/>
      <c r="Z112" s="10"/>
      <c r="AA112" s="10"/>
      <c r="AB112" s="10"/>
      <c r="AC112" s="10"/>
      <c r="AD112" s="10"/>
      <c r="AE112" s="10"/>
      <c r="AF112" s="10"/>
      <c r="AG112" s="10"/>
    </row>
    <row r="113" spans="18:33" x14ac:dyDescent="0.3">
      <c r="R113" s="10"/>
      <c r="S113" s="10"/>
      <c r="T113" s="10"/>
      <c r="U113" s="10"/>
      <c r="V113" s="10"/>
      <c r="W113" s="10"/>
      <c r="X113" s="10"/>
      <c r="Y113" s="10"/>
      <c r="Z113" s="10"/>
      <c r="AA113" s="10"/>
      <c r="AB113" s="10"/>
      <c r="AC113" s="10"/>
      <c r="AD113" s="10"/>
      <c r="AE113" s="10"/>
      <c r="AF113" s="10"/>
      <c r="AG113" s="10"/>
    </row>
    <row r="114" spans="18:33" x14ac:dyDescent="0.3">
      <c r="R114" s="10"/>
      <c r="S114" s="10"/>
      <c r="T114" s="10"/>
      <c r="U114" s="10"/>
      <c r="V114" s="10"/>
      <c r="W114" s="10"/>
      <c r="X114" s="10"/>
      <c r="Y114" s="10"/>
      <c r="Z114" s="10"/>
      <c r="AA114" s="10"/>
      <c r="AB114" s="10"/>
      <c r="AC114" s="10"/>
      <c r="AD114" s="10"/>
      <c r="AE114" s="10"/>
      <c r="AF114" s="10"/>
      <c r="AG114" s="10"/>
    </row>
    <row r="115" spans="18:33" x14ac:dyDescent="0.3">
      <c r="R115" s="10"/>
      <c r="S115" s="10"/>
      <c r="T115" s="10"/>
      <c r="U115" s="10"/>
      <c r="V115" s="10"/>
      <c r="W115" s="10"/>
      <c r="X115" s="10"/>
      <c r="Y115" s="10"/>
      <c r="Z115" s="10"/>
      <c r="AA115" s="10"/>
      <c r="AB115" s="10"/>
      <c r="AC115" s="10"/>
      <c r="AD115" s="10"/>
      <c r="AE115" s="10"/>
      <c r="AF115" s="10"/>
      <c r="AG115" s="10"/>
    </row>
    <row r="116" spans="18:33" x14ac:dyDescent="0.3">
      <c r="R116" s="10"/>
      <c r="S116" s="10"/>
      <c r="T116" s="10"/>
      <c r="U116" s="10"/>
      <c r="V116" s="10"/>
      <c r="W116" s="10"/>
      <c r="X116" s="10"/>
      <c r="Y116" s="10"/>
      <c r="Z116" s="10"/>
      <c r="AA116" s="10"/>
      <c r="AB116" s="10"/>
      <c r="AC116" s="10"/>
      <c r="AD116" s="10"/>
      <c r="AE116" s="10"/>
      <c r="AF116" s="10"/>
      <c r="AG116" s="10"/>
    </row>
    <row r="117" spans="18:33" x14ac:dyDescent="0.3">
      <c r="R117" s="10"/>
      <c r="S117" s="10"/>
      <c r="T117" s="10"/>
      <c r="U117" s="10"/>
      <c r="V117" s="10"/>
      <c r="W117" s="10"/>
      <c r="X117" s="10"/>
      <c r="Y117" s="10"/>
      <c r="Z117" s="10"/>
      <c r="AA117" s="10"/>
      <c r="AB117" s="10"/>
      <c r="AC117" s="10"/>
      <c r="AD117" s="10"/>
      <c r="AE117" s="10"/>
      <c r="AF117" s="10"/>
      <c r="AG117" s="10"/>
    </row>
    <row r="118" spans="18:33" x14ac:dyDescent="0.3">
      <c r="R118" s="10"/>
      <c r="S118" s="10"/>
      <c r="T118" s="10"/>
      <c r="U118" s="10"/>
      <c r="V118" s="10"/>
      <c r="W118" s="10"/>
      <c r="X118" s="10"/>
      <c r="Y118" s="10"/>
      <c r="Z118" s="10"/>
      <c r="AA118" s="10"/>
      <c r="AB118" s="10"/>
      <c r="AC118" s="10"/>
      <c r="AD118" s="10"/>
      <c r="AE118" s="10"/>
      <c r="AF118" s="10"/>
      <c r="AG118" s="10"/>
    </row>
    <row r="119" spans="18:33" x14ac:dyDescent="0.3">
      <c r="R119" s="10"/>
      <c r="S119" s="10"/>
      <c r="T119" s="10"/>
      <c r="U119" s="10"/>
      <c r="V119" s="10"/>
      <c r="W119" s="10"/>
      <c r="X119" s="10"/>
      <c r="Y119" s="10"/>
      <c r="Z119" s="10"/>
      <c r="AA119" s="10"/>
      <c r="AB119" s="10"/>
      <c r="AC119" s="10"/>
      <c r="AD119" s="10"/>
      <c r="AE119" s="10"/>
      <c r="AF119" s="10"/>
      <c r="AG119" s="10"/>
    </row>
    <row r="120" spans="18:33" x14ac:dyDescent="0.3">
      <c r="R120" s="10"/>
      <c r="S120" s="10"/>
      <c r="T120" s="10"/>
      <c r="U120" s="10"/>
      <c r="V120" s="10"/>
      <c r="W120" s="10"/>
      <c r="X120" s="10"/>
      <c r="Y120" s="10"/>
      <c r="Z120" s="10"/>
      <c r="AA120" s="10"/>
      <c r="AB120" s="10"/>
      <c r="AC120" s="10"/>
      <c r="AD120" s="10"/>
      <c r="AE120" s="10"/>
      <c r="AF120" s="10"/>
      <c r="AG120" s="10"/>
    </row>
    <row r="121" spans="18:33" x14ac:dyDescent="0.3">
      <c r="R121" s="10"/>
      <c r="S121" s="10"/>
      <c r="T121" s="10"/>
      <c r="U121" s="10"/>
      <c r="V121" s="10"/>
      <c r="W121" s="10"/>
      <c r="X121" s="10"/>
      <c r="Y121" s="10"/>
      <c r="Z121" s="10"/>
      <c r="AA121" s="10"/>
      <c r="AB121" s="10"/>
      <c r="AC121" s="10"/>
      <c r="AD121" s="10"/>
      <c r="AE121" s="10"/>
      <c r="AF121" s="10"/>
      <c r="AG121" s="10"/>
    </row>
    <row r="122" spans="18:33" x14ac:dyDescent="0.3">
      <c r="R122" s="10"/>
      <c r="S122" s="10"/>
      <c r="T122" s="10"/>
      <c r="U122" s="10"/>
      <c r="V122" s="10"/>
      <c r="W122" s="10"/>
      <c r="X122" s="10"/>
      <c r="Y122" s="10"/>
      <c r="Z122" s="10"/>
      <c r="AA122" s="10"/>
      <c r="AB122" s="10"/>
      <c r="AC122" s="10"/>
      <c r="AD122" s="10"/>
      <c r="AE122" s="10"/>
      <c r="AF122" s="10"/>
      <c r="AG122" s="10"/>
    </row>
    <row r="123" spans="18:33" x14ac:dyDescent="0.3">
      <c r="R123" s="10"/>
      <c r="S123" s="10"/>
      <c r="T123" s="10"/>
      <c r="U123" s="10"/>
      <c r="V123" s="10"/>
      <c r="W123" s="10"/>
      <c r="X123" s="10"/>
      <c r="Y123" s="10"/>
      <c r="Z123" s="10"/>
      <c r="AA123" s="10"/>
      <c r="AB123" s="10"/>
      <c r="AC123" s="10"/>
      <c r="AD123" s="10"/>
      <c r="AE123" s="10"/>
      <c r="AF123" s="10"/>
      <c r="AG123" s="10"/>
    </row>
    <row r="124" spans="18:33" x14ac:dyDescent="0.3">
      <c r="R124" s="10"/>
      <c r="S124" s="10"/>
      <c r="T124" s="10"/>
      <c r="U124" s="10"/>
      <c r="V124" s="10"/>
      <c r="W124" s="10"/>
      <c r="X124" s="10"/>
      <c r="Y124" s="10"/>
      <c r="Z124" s="10"/>
      <c r="AA124" s="10"/>
      <c r="AB124" s="10"/>
      <c r="AC124" s="10"/>
      <c r="AD124" s="10"/>
      <c r="AE124" s="10"/>
      <c r="AF124" s="10"/>
      <c r="AG124" s="10"/>
    </row>
    <row r="125" spans="18:33" x14ac:dyDescent="0.3">
      <c r="R125" s="10"/>
      <c r="S125" s="10"/>
      <c r="T125" s="10"/>
      <c r="U125" s="10"/>
      <c r="V125" s="10"/>
      <c r="W125" s="10"/>
      <c r="X125" s="10"/>
      <c r="Y125" s="10"/>
      <c r="Z125" s="10"/>
      <c r="AA125" s="10"/>
      <c r="AB125" s="10"/>
      <c r="AC125" s="10"/>
      <c r="AD125" s="10"/>
      <c r="AE125" s="10"/>
      <c r="AF125" s="10"/>
      <c r="AG125" s="10"/>
    </row>
    <row r="126" spans="18:33" x14ac:dyDescent="0.3">
      <c r="R126" s="10"/>
      <c r="S126" s="10"/>
      <c r="T126" s="10"/>
      <c r="U126" s="10"/>
      <c r="V126" s="10"/>
      <c r="W126" s="10"/>
      <c r="X126" s="10"/>
      <c r="Y126" s="10"/>
      <c r="Z126" s="10"/>
      <c r="AA126" s="10"/>
      <c r="AB126" s="10"/>
      <c r="AC126" s="10"/>
      <c r="AD126" s="10"/>
      <c r="AE126" s="10"/>
      <c r="AF126" s="10"/>
      <c r="AG126" s="10"/>
    </row>
    <row r="127" spans="18:33" x14ac:dyDescent="0.3">
      <c r="R127" s="10"/>
      <c r="S127" s="10"/>
      <c r="T127" s="10"/>
      <c r="U127" s="10"/>
      <c r="V127" s="10"/>
      <c r="W127" s="10"/>
      <c r="X127" s="10"/>
      <c r="Y127" s="10"/>
      <c r="Z127" s="10"/>
      <c r="AA127" s="10"/>
      <c r="AB127" s="10"/>
      <c r="AC127" s="10"/>
      <c r="AD127" s="10"/>
      <c r="AE127" s="10"/>
      <c r="AF127" s="10"/>
      <c r="AG127" s="10"/>
    </row>
    <row r="128" spans="18:33" x14ac:dyDescent="0.3">
      <c r="R128" s="10"/>
      <c r="S128" s="10"/>
      <c r="T128" s="10"/>
      <c r="U128" s="10"/>
      <c r="V128" s="10"/>
      <c r="W128" s="10"/>
      <c r="X128" s="10"/>
      <c r="Y128" s="10"/>
      <c r="Z128" s="10"/>
      <c r="AA128" s="10"/>
      <c r="AB128" s="10"/>
      <c r="AC128" s="10"/>
      <c r="AD128" s="10"/>
      <c r="AE128" s="10"/>
      <c r="AF128" s="10"/>
      <c r="AG128" s="10"/>
    </row>
    <row r="129" spans="18:33" x14ac:dyDescent="0.3">
      <c r="R129" s="10"/>
      <c r="S129" s="10"/>
      <c r="T129" s="10"/>
      <c r="U129" s="10"/>
      <c r="V129" s="10"/>
      <c r="W129" s="10"/>
      <c r="X129" s="10"/>
      <c r="Y129" s="10"/>
      <c r="Z129" s="10"/>
      <c r="AA129" s="10"/>
      <c r="AB129" s="10"/>
      <c r="AC129" s="10"/>
      <c r="AD129" s="10"/>
      <c r="AE129" s="10"/>
      <c r="AF129" s="10"/>
      <c r="AG129" s="10"/>
    </row>
    <row r="130" spans="18:33" x14ac:dyDescent="0.3">
      <c r="R130" s="10"/>
      <c r="S130" s="10"/>
      <c r="T130" s="10"/>
      <c r="U130" s="10"/>
      <c r="V130" s="10"/>
      <c r="W130" s="10"/>
      <c r="X130" s="10"/>
      <c r="Y130" s="10"/>
      <c r="Z130" s="10"/>
      <c r="AA130" s="10"/>
      <c r="AB130" s="10"/>
      <c r="AC130" s="10"/>
      <c r="AD130" s="10"/>
      <c r="AE130" s="10"/>
      <c r="AF130" s="10"/>
      <c r="AG130" s="10"/>
    </row>
    <row r="131" spans="18:33" x14ac:dyDescent="0.3">
      <c r="R131" s="10"/>
      <c r="S131" s="10"/>
      <c r="T131" s="10"/>
      <c r="U131" s="10"/>
      <c r="V131" s="10"/>
      <c r="W131" s="10"/>
      <c r="X131" s="10"/>
      <c r="Y131" s="10"/>
      <c r="Z131" s="10"/>
      <c r="AA131" s="10"/>
      <c r="AB131" s="10"/>
      <c r="AC131" s="10"/>
      <c r="AD131" s="10"/>
      <c r="AE131" s="10"/>
      <c r="AF131" s="10"/>
      <c r="AG131" s="10"/>
    </row>
    <row r="132" spans="18:33" x14ac:dyDescent="0.3">
      <c r="R132" s="10"/>
      <c r="S132" s="10"/>
      <c r="T132" s="10"/>
      <c r="U132" s="10"/>
      <c r="V132" s="10"/>
      <c r="W132" s="10"/>
      <c r="X132" s="10"/>
      <c r="Y132" s="10"/>
      <c r="Z132" s="10"/>
      <c r="AA132" s="10"/>
      <c r="AB132" s="10"/>
      <c r="AC132" s="10"/>
      <c r="AD132" s="10"/>
      <c r="AE132" s="10"/>
      <c r="AF132" s="10"/>
      <c r="AG132" s="10"/>
    </row>
    <row r="133" spans="18:33" x14ac:dyDescent="0.3">
      <c r="R133" s="10"/>
      <c r="S133" s="10"/>
      <c r="T133" s="10"/>
      <c r="U133" s="10"/>
      <c r="V133" s="10"/>
      <c r="W133" s="10"/>
      <c r="X133" s="10"/>
      <c r="Y133" s="10"/>
      <c r="Z133" s="10"/>
      <c r="AA133" s="10"/>
      <c r="AB133" s="10"/>
      <c r="AC133" s="10"/>
      <c r="AD133" s="10"/>
      <c r="AE133" s="10"/>
      <c r="AF133" s="10"/>
      <c r="AG133" s="10"/>
    </row>
    <row r="134" spans="18:33" x14ac:dyDescent="0.3">
      <c r="R134" s="10"/>
      <c r="S134" s="10"/>
      <c r="T134" s="10"/>
      <c r="U134" s="10"/>
      <c r="V134" s="10"/>
      <c r="W134" s="10"/>
      <c r="X134" s="10"/>
      <c r="Y134" s="10"/>
      <c r="Z134" s="10"/>
      <c r="AA134" s="10"/>
      <c r="AB134" s="10"/>
      <c r="AC134" s="10"/>
      <c r="AD134" s="10"/>
      <c r="AE134" s="10"/>
      <c r="AF134" s="10"/>
      <c r="AG134" s="10"/>
    </row>
    <row r="135" spans="18:33" x14ac:dyDescent="0.3">
      <c r="R135" s="10"/>
      <c r="S135" s="10"/>
      <c r="T135" s="10"/>
      <c r="U135" s="10"/>
      <c r="V135" s="10"/>
      <c r="W135" s="10"/>
      <c r="X135" s="10"/>
      <c r="Y135" s="10"/>
      <c r="Z135" s="10"/>
      <c r="AA135" s="10"/>
      <c r="AB135" s="10"/>
      <c r="AC135" s="10"/>
      <c r="AD135" s="10"/>
      <c r="AE135" s="10"/>
      <c r="AF135" s="10"/>
      <c r="AG135" s="10"/>
    </row>
    <row r="136" spans="18:33" x14ac:dyDescent="0.3">
      <c r="R136" s="10"/>
      <c r="S136" s="10"/>
      <c r="T136" s="10"/>
      <c r="U136" s="10"/>
      <c r="V136" s="10"/>
      <c r="W136" s="10"/>
      <c r="X136" s="10"/>
      <c r="Y136" s="10"/>
      <c r="Z136" s="10"/>
      <c r="AA136" s="10"/>
      <c r="AB136" s="10"/>
      <c r="AC136" s="10"/>
      <c r="AD136" s="10"/>
      <c r="AE136" s="10"/>
      <c r="AF136" s="10"/>
      <c r="AG136" s="10"/>
    </row>
    <row r="137" spans="18:33" x14ac:dyDescent="0.3">
      <c r="R137" s="10"/>
      <c r="S137" s="10"/>
      <c r="T137" s="10"/>
      <c r="U137" s="10"/>
      <c r="V137" s="10"/>
      <c r="W137" s="10"/>
      <c r="X137" s="10"/>
      <c r="Y137" s="10"/>
      <c r="Z137" s="10"/>
      <c r="AA137" s="10"/>
      <c r="AB137" s="10"/>
      <c r="AC137" s="10"/>
      <c r="AD137" s="10"/>
      <c r="AE137" s="10"/>
      <c r="AF137" s="10"/>
      <c r="AG137" s="10"/>
    </row>
    <row r="138" spans="18:33" x14ac:dyDescent="0.3">
      <c r="R138" s="10"/>
      <c r="S138" s="10"/>
      <c r="T138" s="10"/>
      <c r="U138" s="10"/>
      <c r="V138" s="10"/>
      <c r="W138" s="10"/>
      <c r="X138" s="10"/>
      <c r="Y138" s="10"/>
      <c r="Z138" s="10"/>
      <c r="AA138" s="10"/>
      <c r="AB138" s="10"/>
      <c r="AC138" s="10"/>
      <c r="AD138" s="10"/>
      <c r="AE138" s="10"/>
      <c r="AF138" s="10"/>
      <c r="AG138" s="10"/>
    </row>
    <row r="139" spans="18:33" x14ac:dyDescent="0.3">
      <c r="R139" s="10"/>
      <c r="S139" s="10"/>
      <c r="T139" s="10"/>
      <c r="U139" s="10"/>
      <c r="V139" s="10"/>
      <c r="W139" s="10"/>
      <c r="X139" s="10"/>
      <c r="Y139" s="10"/>
      <c r="Z139" s="10"/>
      <c r="AA139" s="10"/>
      <c r="AB139" s="10"/>
      <c r="AC139" s="10"/>
      <c r="AD139" s="10"/>
      <c r="AE139" s="10"/>
      <c r="AF139" s="10"/>
      <c r="AG139" s="10"/>
    </row>
    <row r="140" spans="18:33" x14ac:dyDescent="0.3">
      <c r="R140" s="10"/>
      <c r="S140" s="10"/>
      <c r="T140" s="10"/>
      <c r="U140" s="10"/>
      <c r="V140" s="10"/>
      <c r="W140" s="10"/>
      <c r="X140" s="10"/>
      <c r="Y140" s="10"/>
      <c r="Z140" s="10"/>
      <c r="AA140" s="10"/>
      <c r="AB140" s="10"/>
      <c r="AC140" s="10"/>
      <c r="AD140" s="10"/>
      <c r="AE140" s="10"/>
      <c r="AF140" s="10"/>
      <c r="AG140" s="10"/>
    </row>
    <row r="141" spans="18:33" x14ac:dyDescent="0.3">
      <c r="R141" s="10"/>
      <c r="S141" s="10"/>
      <c r="T141" s="10"/>
      <c r="U141" s="10"/>
      <c r="V141" s="10"/>
      <c r="W141" s="10"/>
      <c r="X141" s="10"/>
      <c r="Y141" s="10"/>
      <c r="Z141" s="10"/>
      <c r="AA141" s="10"/>
      <c r="AB141" s="10"/>
      <c r="AC141" s="10"/>
      <c r="AD141" s="10"/>
      <c r="AE141" s="10"/>
      <c r="AF141" s="10"/>
      <c r="AG141" s="10"/>
    </row>
    <row r="142" spans="18:33" x14ac:dyDescent="0.3">
      <c r="R142" s="10"/>
      <c r="S142" s="10"/>
      <c r="T142" s="10"/>
      <c r="U142" s="10"/>
      <c r="V142" s="10"/>
      <c r="W142" s="10"/>
      <c r="X142" s="10"/>
      <c r="Y142" s="10"/>
      <c r="Z142" s="10"/>
      <c r="AA142" s="10"/>
      <c r="AB142" s="10"/>
      <c r="AC142" s="10"/>
      <c r="AD142" s="10"/>
      <c r="AE142" s="10"/>
      <c r="AF142" s="10"/>
      <c r="AG142" s="10"/>
    </row>
    <row r="143" spans="18:33" x14ac:dyDescent="0.3">
      <c r="R143" s="10"/>
      <c r="S143" s="10"/>
      <c r="T143" s="10"/>
      <c r="U143" s="10"/>
      <c r="V143" s="10"/>
      <c r="W143" s="10"/>
      <c r="X143" s="10"/>
      <c r="Y143" s="10"/>
      <c r="Z143" s="10"/>
      <c r="AA143" s="10"/>
      <c r="AB143" s="10"/>
      <c r="AC143" s="10"/>
      <c r="AD143" s="10"/>
      <c r="AE143" s="10"/>
      <c r="AF143" s="10"/>
      <c r="AG143" s="10"/>
    </row>
    <row r="144" spans="18:33" x14ac:dyDescent="0.3">
      <c r="R144" s="10"/>
      <c r="S144" s="10"/>
      <c r="T144" s="10"/>
      <c r="U144" s="10"/>
      <c r="V144" s="10"/>
      <c r="W144" s="10"/>
      <c r="X144" s="10"/>
      <c r="Y144" s="10"/>
      <c r="Z144" s="10"/>
      <c r="AA144" s="10"/>
      <c r="AB144" s="10"/>
      <c r="AC144" s="10"/>
      <c r="AD144" s="10"/>
      <c r="AE144" s="10"/>
      <c r="AF144" s="10"/>
      <c r="AG144" s="10"/>
    </row>
    <row r="145" spans="18:33" x14ac:dyDescent="0.3">
      <c r="R145" s="10"/>
      <c r="S145" s="10"/>
      <c r="T145" s="10"/>
      <c r="U145" s="10"/>
      <c r="V145" s="10"/>
      <c r="W145" s="10"/>
      <c r="X145" s="10"/>
      <c r="Y145" s="10"/>
      <c r="Z145" s="10"/>
      <c r="AA145" s="10"/>
      <c r="AB145" s="10"/>
      <c r="AC145" s="10"/>
      <c r="AD145" s="10"/>
      <c r="AE145" s="10"/>
      <c r="AF145" s="10"/>
      <c r="AG145" s="10"/>
    </row>
    <row r="146" spans="18:33" x14ac:dyDescent="0.3">
      <c r="R146" s="10"/>
      <c r="S146" s="10"/>
      <c r="T146" s="10"/>
      <c r="U146" s="10"/>
      <c r="V146" s="10"/>
      <c r="W146" s="10"/>
      <c r="X146" s="10"/>
      <c r="Y146" s="10"/>
      <c r="Z146" s="10"/>
      <c r="AA146" s="10"/>
      <c r="AB146" s="10"/>
      <c r="AC146" s="10"/>
      <c r="AD146" s="10"/>
      <c r="AE146" s="10"/>
      <c r="AF146" s="10"/>
      <c r="AG146" s="10"/>
    </row>
    <row r="147" spans="18:33" x14ac:dyDescent="0.3">
      <c r="R147" s="10"/>
      <c r="S147" s="10"/>
      <c r="T147" s="10"/>
      <c r="U147" s="10"/>
      <c r="V147" s="10"/>
      <c r="W147" s="10"/>
      <c r="X147" s="10"/>
      <c r="Y147" s="10"/>
      <c r="Z147" s="10"/>
      <c r="AA147" s="10"/>
      <c r="AB147" s="10"/>
      <c r="AC147" s="10"/>
      <c r="AD147" s="10"/>
      <c r="AE147" s="10"/>
      <c r="AF147" s="10"/>
      <c r="AG147" s="10"/>
    </row>
  </sheetData>
  <sheetProtection sheet="1" objects="1" scenarios="1"/>
  <mergeCells count="168">
    <mergeCell ref="B61:R61"/>
    <mergeCell ref="O12:P13"/>
    <mergeCell ref="I15:K15"/>
    <mergeCell ref="I12:K12"/>
    <mergeCell ref="C20:E20"/>
    <mergeCell ref="F19:H19"/>
    <mergeCell ref="F20:H20"/>
    <mergeCell ref="D6:H6"/>
    <mergeCell ref="D7:H7"/>
    <mergeCell ref="B6:B8"/>
    <mergeCell ref="D8:P8"/>
    <mergeCell ref="I6:P7"/>
    <mergeCell ref="I16:K16"/>
    <mergeCell ref="I19:K19"/>
    <mergeCell ref="B12:B13"/>
    <mergeCell ref="F17:H17"/>
    <mergeCell ref="C17:E17"/>
    <mergeCell ref="F18:H18"/>
    <mergeCell ref="C18:E18"/>
    <mergeCell ref="F12:H12"/>
    <mergeCell ref="C14:E14"/>
    <mergeCell ref="F15:H15"/>
    <mergeCell ref="F16:H16"/>
    <mergeCell ref="C13:E13"/>
    <mergeCell ref="F14:H14"/>
    <mergeCell ref="F21:H21"/>
    <mergeCell ref="I20:K20"/>
    <mergeCell ref="I21:K21"/>
    <mergeCell ref="I17:K17"/>
    <mergeCell ref="I18:K18"/>
    <mergeCell ref="B26:P26"/>
    <mergeCell ref="B28:P28"/>
    <mergeCell ref="F25:H25"/>
    <mergeCell ref="C22:E22"/>
    <mergeCell ref="L22:N22"/>
    <mergeCell ref="I22:K22"/>
    <mergeCell ref="L18:N18"/>
    <mergeCell ref="O14:P20"/>
    <mergeCell ref="L20:N20"/>
    <mergeCell ref="L14:N14"/>
    <mergeCell ref="L15:N15"/>
    <mergeCell ref="L19:N19"/>
    <mergeCell ref="L17:N17"/>
    <mergeCell ref="L16:N16"/>
    <mergeCell ref="I24:K24"/>
    <mergeCell ref="I23:K23"/>
    <mergeCell ref="C9:H9"/>
    <mergeCell ref="O9:P9"/>
    <mergeCell ref="C25:E25"/>
    <mergeCell ref="C11:E11"/>
    <mergeCell ref="F11:H11"/>
    <mergeCell ref="O11:P11"/>
    <mergeCell ref="I10:N10"/>
    <mergeCell ref="B37:H37"/>
    <mergeCell ref="I5:K5"/>
    <mergeCell ref="L5:N5"/>
    <mergeCell ref="O5:P5"/>
    <mergeCell ref="C5:E5"/>
    <mergeCell ref="F5:H5"/>
    <mergeCell ref="F13:H13"/>
    <mergeCell ref="C12:E12"/>
    <mergeCell ref="C10:H10"/>
    <mergeCell ref="C19:E19"/>
    <mergeCell ref="I9:N9"/>
    <mergeCell ref="L13:N13"/>
    <mergeCell ref="L12:N12"/>
    <mergeCell ref="I14:K14"/>
    <mergeCell ref="I11:K11"/>
    <mergeCell ref="L11:N11"/>
    <mergeCell ref="I13:K13"/>
    <mergeCell ref="I36:K36"/>
    <mergeCell ref="B42:P42"/>
    <mergeCell ref="B43:F43"/>
    <mergeCell ref="J43:K43"/>
    <mergeCell ref="M38:N38"/>
    <mergeCell ref="B38:H38"/>
    <mergeCell ref="M37:N37"/>
    <mergeCell ref="I37:K37"/>
    <mergeCell ref="L36:N36"/>
    <mergeCell ref="I38:K38"/>
    <mergeCell ref="B36:H36"/>
    <mergeCell ref="B40:O40"/>
    <mergeCell ref="I35:K35"/>
    <mergeCell ref="L24:N24"/>
    <mergeCell ref="L23:N23"/>
    <mergeCell ref="I25:K25"/>
    <mergeCell ref="C23:E23"/>
    <mergeCell ref="F23:H23"/>
    <mergeCell ref="M30:N31"/>
    <mergeCell ref="B34:P34"/>
    <mergeCell ref="B35:H35"/>
    <mergeCell ref="M32:N32"/>
    <mergeCell ref="L25:N25"/>
    <mergeCell ref="C24:E24"/>
    <mergeCell ref="F29:I29"/>
    <mergeCell ref="F24:H24"/>
    <mergeCell ref="J29:P29"/>
    <mergeCell ref="J32:K32"/>
    <mergeCell ref="B32:H32"/>
    <mergeCell ref="O30:O31"/>
    <mergeCell ref="M35:N35"/>
    <mergeCell ref="G30:H30"/>
    <mergeCell ref="G31:H31"/>
    <mergeCell ref="P30:P31"/>
    <mergeCell ref="O21:P25"/>
    <mergeCell ref="F22:H22"/>
    <mergeCell ref="C45:E45"/>
    <mergeCell ref="C44:E44"/>
    <mergeCell ref="M43:N43"/>
    <mergeCell ref="M44:N44"/>
    <mergeCell ref="M45:N45"/>
    <mergeCell ref="G43:H43"/>
    <mergeCell ref="G44:H44"/>
    <mergeCell ref="G45:H45"/>
    <mergeCell ref="J45:K45"/>
    <mergeCell ref="J44:K44"/>
    <mergeCell ref="M48:N48"/>
    <mergeCell ref="B49:H49"/>
    <mergeCell ref="I49:K49"/>
    <mergeCell ref="L49:N49"/>
    <mergeCell ref="B50:H50"/>
    <mergeCell ref="I50:K50"/>
    <mergeCell ref="M50:N50"/>
    <mergeCell ref="M52:N52"/>
    <mergeCell ref="B53:O53"/>
    <mergeCell ref="G51:H51"/>
    <mergeCell ref="M51:N51"/>
    <mergeCell ref="G52:H52"/>
    <mergeCell ref="C52:E52"/>
    <mergeCell ref="J52:K52"/>
    <mergeCell ref="J51:K51"/>
    <mergeCell ref="B51:F51"/>
    <mergeCell ref="C55:H55"/>
    <mergeCell ref="I55:N55"/>
    <mergeCell ref="B54:P54"/>
    <mergeCell ref="C1:J1"/>
    <mergeCell ref="L1:P1"/>
    <mergeCell ref="O10:P10"/>
    <mergeCell ref="L21:N21"/>
    <mergeCell ref="C15:E15"/>
    <mergeCell ref="C16:E16"/>
    <mergeCell ref="C21:E21"/>
    <mergeCell ref="B2:P2"/>
    <mergeCell ref="B3:P3"/>
    <mergeCell ref="B4:P4"/>
    <mergeCell ref="I39:K39"/>
    <mergeCell ref="B39:H39"/>
    <mergeCell ref="M39:N39"/>
    <mergeCell ref="C30:E30"/>
    <mergeCell ref="C31:E31"/>
    <mergeCell ref="J30:K30"/>
    <mergeCell ref="J31:K31"/>
    <mergeCell ref="B46:O46"/>
    <mergeCell ref="B47:P47"/>
    <mergeCell ref="B48:H48"/>
    <mergeCell ref="I48:K48"/>
    <mergeCell ref="S37:W37"/>
    <mergeCell ref="T23:AB23"/>
    <mergeCell ref="R29:S29"/>
    <mergeCell ref="S11:V11"/>
    <mergeCell ref="S36:W36"/>
    <mergeCell ref="S7:W7"/>
    <mergeCell ref="T22:AB22"/>
    <mergeCell ref="V18:AA18"/>
    <mergeCell ref="V19:AA19"/>
    <mergeCell ref="V20:AA20"/>
    <mergeCell ref="V21:AA21"/>
    <mergeCell ref="T24:AB24"/>
  </mergeCells>
  <phoneticPr fontId="0" type="noConversion"/>
  <conditionalFormatting sqref="F11:H11">
    <cfRule type="cellIs" dxfId="12" priority="4" stopIfTrue="1" operator="equal">
      <formula>$C$11</formula>
    </cfRule>
  </conditionalFormatting>
  <conditionalFormatting sqref="F12:H12">
    <cfRule type="cellIs" dxfId="11" priority="2" stopIfTrue="1" operator="equal">
      <formula>$C$12</formula>
    </cfRule>
  </conditionalFormatting>
  <conditionalFormatting sqref="I6:P7">
    <cfRule type="cellIs" dxfId="10" priority="6" stopIfTrue="1" operator="equal">
      <formula>$S$7</formula>
    </cfRule>
  </conditionalFormatting>
  <conditionalFormatting sqref="L11:N11">
    <cfRule type="cellIs" dxfId="9" priority="3" stopIfTrue="1" operator="equal">
      <formula>$I$11</formula>
    </cfRule>
  </conditionalFormatting>
  <conditionalFormatting sqref="L12:N12">
    <cfRule type="cellIs" dxfId="8" priority="1" stopIfTrue="1" operator="equal">
      <formula>$I$12</formula>
    </cfRule>
  </conditionalFormatting>
  <conditionalFormatting sqref="O11:P11">
    <cfRule type="cellIs" dxfId="7" priority="144" stopIfTrue="1" operator="equal">
      <formula>$V$11</formula>
    </cfRule>
  </conditionalFormatting>
  <conditionalFormatting sqref="O21:P25">
    <cfRule type="cellIs" dxfId="6" priority="145" stopIfTrue="1" operator="equal">
      <formula>$T$22</formula>
    </cfRule>
  </conditionalFormatting>
  <dataValidations xWindow="815" yWindow="276" count="6">
    <dataValidation allowBlank="1" showInputMessage="1" showErrorMessage="1" promptTitle="Net monaural loss" prompt="Subtract baseline audiogram impairment, if any, from current impairment." sqref="C44:C45 C52 C30:C31" xr:uid="{00000000-0002-0000-0800-000000000000}"/>
    <dataValidation operator="lessThan" allowBlank="1" showInputMessage="1" showErrorMessage="1" sqref="F5:H5 L5:N5" xr:uid="{00000000-0002-0000-0800-000001000000}"/>
    <dataValidation type="date" operator="lessThan" allowBlank="1" showInputMessage="1" showErrorMessage="1" sqref="F12:H12" xr:uid="{00000000-0002-0000-0800-000002000000}">
      <formula1>T5</formula1>
    </dataValidation>
    <dataValidation type="date" operator="lessThan" allowBlank="1" showInputMessage="1" showErrorMessage="1" sqref="L12:N12" xr:uid="{00000000-0002-0000-0800-000003000000}">
      <formula1>T5</formula1>
    </dataValidation>
    <dataValidation allowBlank="1" showInputMessage="1" showErrorMessage="1" promptTitle="End of worksheet" prompt="Tab to return to top of sheet." sqref="P55" xr:uid="{00000000-0002-0000-0800-000004000000}"/>
    <dataValidation type="list" allowBlank="1" showInputMessage="1" showErrorMessage="1" promptTitle="Current measurements" prompt="Enter 0 to 100. If the loss is greater than 100 dB, enter 100 per OAR 436-035-0250(4)(a)." sqref="C15:N20" xr:uid="{00000000-0002-0000-0800-000005000000}">
      <formula1>$A$62:$CX$62</formula1>
    </dataValidation>
  </dataValidations>
  <hyperlinks>
    <hyperlink ref="B55" location="Hearing!A1" display="Return to top of sheet" xr:uid="{00000000-0004-0000-0800-000000000000}"/>
    <hyperlink ref="I55:N55" location="'PPD DOI on or after 2005'!A1" display="'PPD DOI on or after 2005'!A1" xr:uid="{00000000-0004-0000-0800-000001000000}"/>
    <hyperlink ref="C55:H55" location="'PPD DOI before 2005'!A1" display="'PPD DOI before 2005'!A1" xr:uid="{00000000-0004-0000-0800-000002000000}"/>
    <hyperlink ref="I5:K5" location="'Start here'!A8" display="'Start here'!A8" xr:uid="{00000000-0004-0000-0800-000003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26" max="16383" man="1"/>
  </rowBreaks>
  <ignoredErrors>
    <ignoredError sqref="U17 W17 Y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259" r:id="rId4" name="Check Box 227">
              <controlPr defaultSize="0" autoFill="0" autoLine="0" autoPict="0">
                <anchor moveWithCells="1">
                  <from>
                    <xdr:col>2</xdr:col>
                    <xdr:colOff>31750</xdr:colOff>
                    <xdr:row>7</xdr:row>
                    <xdr:rowOff>12700</xdr:rowOff>
                  </from>
                  <to>
                    <xdr:col>3</xdr:col>
                    <xdr:colOff>31750</xdr:colOff>
                    <xdr:row>8</xdr:row>
                    <xdr:rowOff>0</xdr:rowOff>
                  </to>
                </anchor>
              </controlPr>
            </control>
          </mc:Choice>
        </mc:AlternateContent>
        <mc:AlternateContent xmlns:mc="http://schemas.openxmlformats.org/markup-compatibility/2006">
          <mc:Choice Requires="x14">
            <control shapeId="44247" r:id="rId5" name="Check Box 215">
              <controlPr defaultSize="0" autoFill="0" autoLine="0" autoPict="0">
                <anchor moveWithCells="1">
                  <from>
                    <xdr:col>2</xdr:col>
                    <xdr:colOff>31750</xdr:colOff>
                    <xdr:row>5</xdr:row>
                    <xdr:rowOff>12700</xdr:rowOff>
                  </from>
                  <to>
                    <xdr:col>3</xdr:col>
                    <xdr:colOff>31750</xdr:colOff>
                    <xdr:row>5</xdr:row>
                    <xdr:rowOff>228600</xdr:rowOff>
                  </to>
                </anchor>
              </controlPr>
            </control>
          </mc:Choice>
        </mc:AlternateContent>
        <mc:AlternateContent xmlns:mc="http://schemas.openxmlformats.org/markup-compatibility/2006">
          <mc:Choice Requires="x14">
            <control shapeId="44248" r:id="rId6" name="Check Box 216">
              <controlPr defaultSize="0" autoFill="0" autoLine="0" autoPict="0">
                <anchor moveWithCells="1">
                  <from>
                    <xdr:col>2</xdr:col>
                    <xdr:colOff>31750</xdr:colOff>
                    <xdr:row>6</xdr:row>
                    <xdr:rowOff>12700</xdr:rowOff>
                  </from>
                  <to>
                    <xdr:col>3</xdr:col>
                    <xdr:colOff>31750</xdr:colOff>
                    <xdr:row>6</xdr:row>
                    <xdr:rowOff>228600</xdr:rowOff>
                  </to>
                </anchor>
              </controlPr>
            </control>
          </mc:Choice>
        </mc:AlternateContent>
        <mc:AlternateContent xmlns:mc="http://schemas.openxmlformats.org/markup-compatibility/2006">
          <mc:Choice Requires="x14">
            <control shapeId="44034" r:id="rId7"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mc:AlternateContent xmlns:mc="http://schemas.openxmlformats.org/markup-compatibility/2006">
          <mc:Choice Requires="x14">
            <control shapeId="44035" r:id="rId8" name="Option Button 3">
              <controlPr defaultSize="0" autoFill="0" autoLine="0" autoPict="0">
                <anchor moveWithCells="1" sizeWithCells="1">
                  <from>
                    <xdr:col>14</xdr:col>
                    <xdr:colOff>260350</xdr:colOff>
                    <xdr:row>4</xdr:row>
                    <xdr:rowOff>177800</xdr:rowOff>
                  </from>
                  <to>
                    <xdr:col>14</xdr:col>
                    <xdr:colOff>571500</xdr:colOff>
                    <xdr:row>4</xdr:row>
                    <xdr:rowOff>552450</xdr:rowOff>
                  </to>
                </anchor>
              </controlPr>
            </control>
          </mc:Choice>
        </mc:AlternateContent>
        <mc:AlternateContent xmlns:mc="http://schemas.openxmlformats.org/markup-compatibility/2006">
          <mc:Choice Requires="x14">
            <control shapeId="44036" r:id="rId9" name="Option Button 4">
              <controlPr defaultSize="0" autoFill="0" autoLine="0" autoPict="0">
                <anchor moveWithCells="1" sizeWithCells="1">
                  <from>
                    <xdr:col>15</xdr:col>
                    <xdr:colOff>292100</xdr:colOff>
                    <xdr:row>4</xdr:row>
                    <xdr:rowOff>177800</xdr:rowOff>
                  </from>
                  <to>
                    <xdr:col>15</xdr:col>
                    <xdr:colOff>603250</xdr:colOff>
                    <xdr:row>4</xdr:row>
                    <xdr:rowOff>552450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10" ma:contentTypeDescription="Create a new document." ma:contentTypeScope="" ma:versionID="37cd0a0acb7768dd2a8a632a14672511">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d72487b905f78565dedabc7545e6f8cd"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5389A7A-7B0B-4319-BF8D-29F8B3EC82DB}"/>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openxmlformats.org/package/2006/metadata/core-properties"/>
    <ds:schemaRef ds:uri="55499968-6880-4d8c-adb5-ca0fe4a50954"/>
    <ds:schemaRef ds:uri="http://www.w3.org/XML/1998/namespace"/>
  </ds:schemaRefs>
</ds:datastoreItem>
</file>

<file path=docMetadata/LabelInfo.xml><?xml version="1.0" encoding="utf-8"?>
<clbl:labelList xmlns:clbl="http://schemas.microsoft.com/office/2020/mipLabelMetadata">
  <clbl:label id="{db79d039-fcd0-4045-9c78-4cfb2eba090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Giest Jennifer M.</cp:lastModifiedBy>
  <cp:lastPrinted>2022-10-17T17:53:23Z</cp:lastPrinted>
  <dcterms:created xsi:type="dcterms:W3CDTF">2003-02-18T05:29:48Z</dcterms:created>
  <dcterms:modified xsi:type="dcterms:W3CDTF">2025-06-25T17:24:10Z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2024-06-18T14:56:01Z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fb72a74d-ada7-4c67-a61e-7033743904d8</vt:lpwstr>
  </property>
  <property fmtid="{D5CDD505-2E9C-101B-9397-08002B2CF9AE}" pid="9" name="MSIP_Label_db79d039-fcd0-4045-9c78-4cfb2eba0904_ContentBits">
    <vt:lpwstr>0</vt:lpwstr>
  </property>
</Properties>
</file>